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Sheet1" sheetId="1" r:id="rId1"/>
    <sheet name="Tables" sheetId="2" r:id="rId2"/>
    <sheet name="CharSheet" sheetId="3" r:id="rId3"/>
    <sheet name="Page2" sheetId="4" r:id="rId4"/>
    <sheet name="Page3" sheetId="5" r:id="rId5"/>
    <sheet name="MiscUtils" sheetId="6" r:id="rId6"/>
  </sheets>
  <definedNames>
    <definedName name="_xlnm.Print_Area" localSheetId="2">'CharSheet'!$A$1:$S$59</definedName>
    <definedName name="AccBarrelList">'Tables'!$A$395:$A$399</definedName>
    <definedName name="AccBarrelTable">'Tables'!$A$395:$D$399</definedName>
    <definedName name="AccTopList">'Tables'!$A$390:$A$393</definedName>
    <definedName name="AccTopTable">'Tables'!$A$390:$D$393</definedName>
    <definedName name="AccUnderList">'Tables'!$A$401:$A$406</definedName>
    <definedName name="AccUnderTable">'Tables'!$A$401:$D$406</definedName>
    <definedName name="AdeptAgi">'Tables'!$C$934</definedName>
    <definedName name="AdeptBod">'Tables'!$B$934</definedName>
    <definedName name="AdeptInitPass">'Tables'!$M$934</definedName>
    <definedName name="AdeptPowerList">'Tables'!$A$228:$A$252</definedName>
    <definedName name="AdeptPowerTable">'Tables'!$A$228:$T$252</definedName>
    <definedName name="AdeptRea">'Tables'!$D$934</definedName>
    <definedName name="AdeptStr">'Tables'!$E$934</definedName>
    <definedName name="AmmoList">'Tables'!$A$461:$A$508</definedName>
    <definedName name="AmmoTable">'Tables'!$A$461:$F$508</definedName>
    <definedName name="ArmorList">'Tables'!$A$522:$A$531</definedName>
    <definedName name="ArmorPenalty">'Tables'!$C$534</definedName>
    <definedName name="ArmorTable">'Tables'!$A$522:$E$531</definedName>
    <definedName name="BioList">'Tables'!$A$1787:$A$1864</definedName>
    <definedName name="BioTable">'Tables'!$A$1787:$T$1864</definedName>
    <definedName name="CommlinkList">'Tables'!$A$1922:$A$1930</definedName>
    <definedName name="CommlinkTable">'Tables'!$A$1922:$D$1930</definedName>
    <definedName name="CommUpgTable">'Tables'!$A$512:$D$517</definedName>
    <definedName name="CyberList">'Tables'!$A$1561:$A$1784</definedName>
    <definedName name="CyberTable">'Tables'!$A$1561:$T$1784</definedName>
    <definedName name="CybGradeList">'Tables'!$A$1524:$A$1527</definedName>
    <definedName name="CybGradeTable">'Tables'!$A$1524:$C$1527</definedName>
    <definedName name="DamOverflow">'Tables'!$C$8</definedName>
    <definedName name="DamOverflowTwo">'Tables'!$D$8</definedName>
    <definedName name="DrainStat">'Tables'!$B$101</definedName>
    <definedName name="DrainStatType">'Tables'!$C$101</definedName>
    <definedName name="FociList">'Tables'!$A$538:$A$545</definedName>
    <definedName name="FociTable">'Tables'!$A$538:$C$545</definedName>
    <definedName name="GearList">'Tables'!$A$558:$A$875</definedName>
    <definedName name="GearTable">'Tables'!$A$558:$C$875</definedName>
    <definedName name="GunsList">'Tables'!$A$294:$A$386</definedName>
    <definedName name="GunsTable">'Tables'!$A$294:$M$386</definedName>
    <definedName name="LifestyleList">'Tables'!$A$256:$A$261</definedName>
    <definedName name="LifestyleTable">'Tables'!$A$256:$E$261</definedName>
    <definedName name="MagicStat">'Sheet1'!$I$22</definedName>
    <definedName name="MCon">'Sheet1'!$B$268</definedName>
    <definedName name="MeleeWpnList">'Tables'!$A$269:$A$291</definedName>
    <definedName name="MeleeWpnTable">'Tables'!$A$269:$F$291</definedName>
    <definedName name="MetahumanList">'Tables'!$A$2:$A$6</definedName>
    <definedName name="MetahumanTable">'Tables'!$A$2:$AC$6</definedName>
    <definedName name="NegQualityList">'Tables'!$A$60:$A$92</definedName>
    <definedName name="NegQualityTable">'Tables'!$A$60:$B$92</definedName>
    <definedName name="NegQualTaken">'Sheet1'!$H$85:$H$89</definedName>
    <definedName name="OSList">'Tables'!$A$1933:$A$1938</definedName>
    <definedName name="OSTable">'Tables'!$A$1933:$D$1938</definedName>
    <definedName name="PCon">'Sheet1'!$M$14</definedName>
    <definedName name="PosQualityList">'Tables'!$A$11:$A$57</definedName>
    <definedName name="PosQualityTable">'Tables'!$A$11:$B$57</definedName>
    <definedName name="PosQualTaken">'Sheet1'!$H$78:$H$82</definedName>
    <definedName name="SCon">'Sheet1'!$M$13</definedName>
    <definedName name="SkillGatherList">'Tables'!$A$1061:$E$1134</definedName>
    <definedName name="SkillGroupList">'Tables'!$A$213:$A$225</definedName>
    <definedName name="SkillMasterList">'Tables'!$A$1161:$A$1243</definedName>
    <definedName name="SpellList">'Tables'!$A$105:$A$208</definedName>
    <definedName name="SpellTable">'Tables'!$A$105:$H$209</definedName>
    <definedName name="StatBodyFinal">'Sheet1'!$I$11</definedName>
    <definedName name="TraditionList">'Tables'!$A$98:$A$99</definedName>
    <definedName name="TraditionTable">'Tables'!$A$98:$C$99</definedName>
    <definedName name="WornArmorBall">'Sheet1'!$D$172</definedName>
    <definedName name="WornArmorImp">'Sheet1'!$E$172</definedName>
  </definedNames>
  <calcPr fullCalcOnLoad="1"/>
</workbook>
</file>

<file path=xl/sharedStrings.xml><?xml version="1.0" encoding="utf-8"?>
<sst xmlns="http://schemas.openxmlformats.org/spreadsheetml/2006/main" count="3184" uniqueCount="1724">
  <si>
    <t>Starting Build Points:</t>
  </si>
  <si>
    <t>Name:</t>
  </si>
  <si>
    <t>BUILD POINTS LEFT</t>
  </si>
  <si>
    <t>Race:</t>
  </si>
  <si>
    <t>Human</t>
  </si>
  <si>
    <t>Cost</t>
  </si>
  <si>
    <t>SHADOWRUN 4th EDITION</t>
  </si>
  <si>
    <t>Character Concept:</t>
  </si>
  <si>
    <t>CHARACTER CREATOR</t>
  </si>
  <si>
    <t>v0.991</t>
  </si>
  <si>
    <t>Is Hacker/Technomancer?</t>
  </si>
  <si>
    <t>No</t>
  </si>
  <si>
    <t>Magic Tradition</t>
  </si>
  <si>
    <t>Hermetic</t>
  </si>
  <si>
    <t>by Harri Tusa (hartusa@gmail.com)</t>
  </si>
  <si>
    <t>Grimoire compiled by Christian J. Patterson</t>
  </si>
  <si>
    <t>Starting</t>
  </si>
  <si>
    <t>Mod</t>
  </si>
  <si>
    <t>TOTAL</t>
  </si>
  <si>
    <t>RACIAL MAX</t>
  </si>
  <si>
    <t>AUG MAX</t>
  </si>
  <si>
    <t>AUG TOTAL</t>
  </si>
  <si>
    <t>Body</t>
  </si>
  <si>
    <t>Agility</t>
  </si>
  <si>
    <t>Initiative</t>
  </si>
  <si>
    <t>Reaction</t>
  </si>
  <si>
    <t>Condition (Stun)</t>
  </si>
  <si>
    <t>Strength</t>
  </si>
  <si>
    <t>Condition (Physical)</t>
  </si>
  <si>
    <t>Charisma</t>
  </si>
  <si>
    <t>Intuition</t>
  </si>
  <si>
    <t>Logic</t>
  </si>
  <si>
    <t>Willpower</t>
  </si>
  <si>
    <t>Edge</t>
  </si>
  <si>
    <t>Magic</t>
  </si>
  <si>
    <t>Resonance</t>
  </si>
  <si>
    <t>Total Cost:</t>
  </si>
  <si>
    <t>ACTIVE SKILLS</t>
  </si>
  <si>
    <t>COMBAT SKILLS</t>
  </si>
  <si>
    <t>Specialization</t>
  </si>
  <si>
    <t>PHYSICAL SKILLS</t>
  </si>
  <si>
    <t>Archery</t>
  </si>
  <si>
    <t>Climbing</t>
  </si>
  <si>
    <t>Automatics</t>
  </si>
  <si>
    <t>Disguise</t>
  </si>
  <si>
    <t>Blades</t>
  </si>
  <si>
    <t>Diving</t>
  </si>
  <si>
    <t>Clubs</t>
  </si>
  <si>
    <t>Escape Artist</t>
  </si>
  <si>
    <t>Dodge</t>
  </si>
  <si>
    <t>Gymnastics</t>
  </si>
  <si>
    <t>Exotic Melee Weapons</t>
  </si>
  <si>
    <t>Infiltration</t>
  </si>
  <si>
    <t>Exotic Ranged Weapons</t>
  </si>
  <si>
    <t>Navigation</t>
  </si>
  <si>
    <t>Heavy Weapons</t>
  </si>
  <si>
    <t>Palming</t>
  </si>
  <si>
    <t>Longarms</t>
  </si>
  <si>
    <t>Parachuting</t>
  </si>
  <si>
    <t>Pistols</t>
  </si>
  <si>
    <t>Perception</t>
  </si>
  <si>
    <t>Throwing Weapons</t>
  </si>
  <si>
    <t>Running</t>
  </si>
  <si>
    <t>Unarmed Combat</t>
  </si>
  <si>
    <t>Shadowing</t>
  </si>
  <si>
    <t>Survival</t>
  </si>
  <si>
    <t>MAGIC SKILLS</t>
  </si>
  <si>
    <t>Swimming</t>
  </si>
  <si>
    <t>Assensing</t>
  </si>
  <si>
    <t>Tracking</t>
  </si>
  <si>
    <t>Astral Combat</t>
  </si>
  <si>
    <t>Banishing</t>
  </si>
  <si>
    <t>TECHNICAL SKILLS</t>
  </si>
  <si>
    <t>Binding Magic</t>
  </si>
  <si>
    <t>Aeronautics Mechanic</t>
  </si>
  <si>
    <t>Counterspelling</t>
  </si>
  <si>
    <t>Armorer</t>
  </si>
  <si>
    <t>Ritual Spellcasting</t>
  </si>
  <si>
    <t>Artisan</t>
  </si>
  <si>
    <t>Spellcasting</t>
  </si>
  <si>
    <t>Automotive Mechanic</t>
  </si>
  <si>
    <t>Summoning</t>
  </si>
  <si>
    <t>Computer</t>
  </si>
  <si>
    <t>Cybercombat</t>
  </si>
  <si>
    <t>RESONANCE SKILLS</t>
  </si>
  <si>
    <t>Cybertechnology</t>
  </si>
  <si>
    <t>Compiling</t>
  </si>
  <si>
    <t>Data Search</t>
  </si>
  <si>
    <t>Decompiling</t>
  </si>
  <si>
    <t>Demolitions</t>
  </si>
  <si>
    <t>Registering</t>
  </si>
  <si>
    <t>Electronic Warfare</t>
  </si>
  <si>
    <t>First Aid</t>
  </si>
  <si>
    <t>SOCIAL SKILLS</t>
  </si>
  <si>
    <t>Forgery</t>
  </si>
  <si>
    <t>Con</t>
  </si>
  <si>
    <t>Hacking</t>
  </si>
  <si>
    <t>Etiquette</t>
  </si>
  <si>
    <t>Hardware</t>
  </si>
  <si>
    <t>Instruction</t>
  </si>
  <si>
    <t>Industrial Mechanic</t>
  </si>
  <si>
    <t>Intimidation</t>
  </si>
  <si>
    <t>Locksmith</t>
  </si>
  <si>
    <t>Leadership</t>
  </si>
  <si>
    <t>Medicine</t>
  </si>
  <si>
    <t>Negotiation</t>
  </si>
  <si>
    <t>Nautical Mechanic</t>
  </si>
  <si>
    <t>Software</t>
  </si>
  <si>
    <t>VEHICLE SKILLS</t>
  </si>
  <si>
    <t>Gunnery</t>
  </si>
  <si>
    <t>Pilot Aerospace</t>
  </si>
  <si>
    <t>Pilot Aircraft</t>
  </si>
  <si>
    <t>SKILL GROUPS</t>
  </si>
  <si>
    <t>Pilot Anthroform</t>
  </si>
  <si>
    <t>Stealth Skill Group</t>
  </si>
  <si>
    <t>Pilot Exotic Vehicle</t>
  </si>
  <si>
    <t>Athletics Skill Group</t>
  </si>
  <si>
    <t>Pilot Ground Craft</t>
  </si>
  <si>
    <t>Pilot Watercraft</t>
  </si>
  <si>
    <t>FREE KNOWLEDGE &amp; LANGUAGE POOL:</t>
  </si>
  <si>
    <t>POSITIVE QUALITIES</t>
  </si>
  <si>
    <t>Adept</t>
  </si>
  <si>
    <t>MysticAdept</t>
  </si>
  <si>
    <t>Technomancer</t>
  </si>
  <si>
    <t>KNOWLEDGE SKILLS</t>
  </si>
  <si>
    <t>Street</t>
  </si>
  <si>
    <t>NEGATIVE QUALITIES</t>
  </si>
  <si>
    <t>Academic</t>
  </si>
  <si>
    <t>Professional</t>
  </si>
  <si>
    <t>CONTACTS</t>
  </si>
  <si>
    <t>Connection</t>
  </si>
  <si>
    <t>Loyalty</t>
  </si>
  <si>
    <t>Mak the mechanic</t>
  </si>
  <si>
    <t>Interests</t>
  </si>
  <si>
    <t>Languages</t>
  </si>
  <si>
    <t>English</t>
  </si>
  <si>
    <t>N</t>
  </si>
  <si>
    <t>GEAR</t>
  </si>
  <si>
    <t>BP Spent</t>
  </si>
  <si>
    <t>Available Cash</t>
  </si>
  <si>
    <t>RESOURCES LEFT</t>
  </si>
  <si>
    <t>Starting Gear</t>
  </si>
  <si>
    <t>nuyen</t>
  </si>
  <si>
    <t>Lifestyle</t>
  </si>
  <si>
    <t>Low</t>
  </si>
  <si>
    <t>for</t>
  </si>
  <si>
    <t>months</t>
  </si>
  <si>
    <t>Starting Cash:</t>
  </si>
  <si>
    <t>MELEE</t>
  </si>
  <si>
    <t>Avail</t>
  </si>
  <si>
    <t>Reach</t>
  </si>
  <si>
    <t>AP</t>
  </si>
  <si>
    <t>DV</t>
  </si>
  <si>
    <t>Knife</t>
  </si>
  <si>
    <t>WEAPON STATS</t>
  </si>
  <si>
    <t>PROJECTILE</t>
  </si>
  <si>
    <t>Ammo Type</t>
  </si>
  <si>
    <t>Type</t>
  </si>
  <si>
    <t>Damage</t>
  </si>
  <si>
    <t>Mode</t>
  </si>
  <si>
    <t>Capacity</t>
  </si>
  <si>
    <t>RC</t>
  </si>
  <si>
    <t>S</t>
  </si>
  <si>
    <t>M</t>
  </si>
  <si>
    <t>L</t>
  </si>
  <si>
    <t>E</t>
  </si>
  <si>
    <t>Ares Predator IV</t>
  </si>
  <si>
    <t>APDS Rounds</t>
  </si>
  <si>
    <t>WEAPON ACCESSORIES</t>
  </si>
  <si>
    <t>Top Mount</t>
  </si>
  <si>
    <t>Barrel Mount</t>
  </si>
  <si>
    <t>Underbarrel Mount</t>
  </si>
  <si>
    <t>NOTE ON CYBERWARE: Items marked with a "+" (e.g. "+ Smartlink") are intended to be used with a base unit. They only cost Capacity, not Essence. The number in brackets (e.g. [3]) is the Capacity cost and you have to track it manually. Cyberweapon cost is calculated with Cyberware; for weapon stats, pick the corresponding cyberweapon from the standard weapons list (cost won't be double charged).</t>
  </si>
  <si>
    <t>CYBERWARE</t>
  </si>
  <si>
    <t>Essence</t>
  </si>
  <si>
    <t>Implant Grade</t>
  </si>
  <si>
    <t>BIOWARE</t>
  </si>
  <si>
    <t>Ess</t>
  </si>
  <si>
    <t>Ava</t>
  </si>
  <si>
    <t>Skillwires V</t>
  </si>
  <si>
    <t>Standard</t>
  </si>
  <si>
    <t>Suprathyroid Gland</t>
  </si>
  <si>
    <t>Bone Lacing, Titanium</t>
  </si>
  <si>
    <t>Muscle Augmentation IV</t>
  </si>
  <si>
    <t>Muscle Toner IV</t>
  </si>
  <si>
    <t>Synaptic Booster III</t>
  </si>
  <si>
    <t>Cerebral Booster III</t>
  </si>
  <si>
    <t>TOTAL ESSENCE COST:</t>
  </si>
  <si>
    <t>PRIMARY ARMOR</t>
  </si>
  <si>
    <t>Ballistic</t>
  </si>
  <si>
    <t>Impact</t>
  </si>
  <si>
    <t>Armor Jacket</t>
  </si>
  <si>
    <t>COMMLINK</t>
  </si>
  <si>
    <t>Response</t>
  </si>
  <si>
    <t>Signal</t>
  </si>
  <si>
    <t>STOCK OS</t>
  </si>
  <si>
    <t>FW</t>
  </si>
  <si>
    <t>Sys</t>
  </si>
  <si>
    <t>Meta Link</t>
  </si>
  <si>
    <t>Vector Xim</t>
  </si>
  <si>
    <t>CUSTOMIZATION:</t>
  </si>
  <si>
    <t>Total:</t>
  </si>
  <si>
    <t>AMMUNITION/EXPLOSIVES</t>
  </si>
  <si>
    <t>(# x 1)</t>
  </si>
  <si>
    <t>Activesoft (Rating 4)</t>
  </si>
  <si>
    <t>Gel Rounds</t>
  </si>
  <si>
    <t>Activesoft (Rating 3)</t>
  </si>
  <si>
    <t>First-Aid</t>
  </si>
  <si>
    <t>Knowsoft (Rating 5)</t>
  </si>
  <si>
    <t>Security Design</t>
  </si>
  <si>
    <t>Subvocal Microphone</t>
  </si>
  <si>
    <t>Contact Lenses</t>
  </si>
  <si>
    <t xml:space="preserve">  + Image Link</t>
  </si>
  <si>
    <r>
      <t xml:space="preserve">  </t>
    </r>
    <r>
      <rPr>
        <sz val="8"/>
        <rFont val="Arial"/>
        <family val="2"/>
      </rPr>
      <t>+ Thermographic</t>
    </r>
  </si>
  <si>
    <t xml:space="preserve">  + Flare Compensation</t>
  </si>
  <si>
    <t xml:space="preserve">  + Vision Magnification</t>
  </si>
  <si>
    <t xml:space="preserve">  + Low Light</t>
  </si>
  <si>
    <r>
      <t xml:space="preserve">  </t>
    </r>
    <r>
      <rPr>
        <sz val="8"/>
        <rFont val="Arial"/>
        <family val="2"/>
      </rPr>
      <t>+ Smartlink</t>
    </r>
  </si>
  <si>
    <t xml:space="preserve">  + Vision Enhancement III</t>
  </si>
  <si>
    <t>MAGIC</t>
  </si>
  <si>
    <t>SPELLS</t>
  </si>
  <si>
    <t>Properties</t>
  </si>
  <si>
    <t>Range</t>
  </si>
  <si>
    <t>Duration</t>
  </si>
  <si>
    <t>Drain Value</t>
  </si>
  <si>
    <t>ADEPT POWERS</t>
  </si>
  <si>
    <t>Level</t>
  </si>
  <si>
    <t>PP</t>
  </si>
  <si>
    <t>Specialization (when applicable)</t>
  </si>
  <si>
    <t>NOTES</t>
  </si>
  <si>
    <t>Power Points Left:</t>
  </si>
  <si>
    <t>BOUND SPIRITS</t>
  </si>
  <si>
    <t>Favors</t>
  </si>
  <si>
    <t>FOCI</t>
  </si>
  <si>
    <t>Force</t>
  </si>
  <si>
    <t>Bound</t>
  </si>
  <si>
    <t>BP Cost</t>
  </si>
  <si>
    <t>Total BP Cost:</t>
  </si>
  <si>
    <t>MAGICAL LODGE</t>
  </si>
  <si>
    <t>HACKER/RIGGER/TECHNOMANCER</t>
  </si>
  <si>
    <t>Firewall</t>
  </si>
  <si>
    <t>System</t>
  </si>
  <si>
    <t>VR Initiative:</t>
  </si>
  <si>
    <t>VR Initiative (Hot-Sim):</t>
  </si>
  <si>
    <t>Matrix Defense:</t>
  </si>
  <si>
    <t>Damage Resistance (Attack):</t>
  </si>
  <si>
    <t>Damage Resistance (Black IC):</t>
  </si>
  <si>
    <t>Matrix Condition Monitor:</t>
  </si>
  <si>
    <t>PROGRAMS</t>
  </si>
  <si>
    <t>Commlink Upgrade</t>
  </si>
  <si>
    <t>Rating</t>
  </si>
  <si>
    <t>Common Use</t>
  </si>
  <si>
    <t>Analyze</t>
  </si>
  <si>
    <t>Browse</t>
  </si>
  <si>
    <t>Command</t>
  </si>
  <si>
    <t>Edit</t>
  </si>
  <si>
    <t>Encrypt</t>
  </si>
  <si>
    <t>Reality Filter</t>
  </si>
  <si>
    <t>Scan</t>
  </si>
  <si>
    <t>Armor</t>
  </si>
  <si>
    <t>Attack</t>
  </si>
  <si>
    <t>Biofeedback Filter</t>
  </si>
  <si>
    <t>Black Hammer</t>
  </si>
  <si>
    <t>Blackout</t>
  </si>
  <si>
    <t>Data Bomb</t>
  </si>
  <si>
    <t>Decrypt</t>
  </si>
  <si>
    <t>Defuse</t>
  </si>
  <si>
    <t>ECCM</t>
  </si>
  <si>
    <t>Exploit</t>
  </si>
  <si>
    <t>Medic</t>
  </si>
  <si>
    <t>Sniffer</t>
  </si>
  <si>
    <t>Spoof</t>
  </si>
  <si>
    <t>Stealth</t>
  </si>
  <si>
    <t>Track</t>
  </si>
  <si>
    <t>Autosoft</t>
  </si>
  <si>
    <t>Clearsight</t>
  </si>
  <si>
    <t>Defense</t>
  </si>
  <si>
    <t>Maneuver (Aerospace)</t>
  </si>
  <si>
    <t>Maneuver (Aircraft)</t>
  </si>
  <si>
    <t>Maneuver (Anthroform)</t>
  </si>
  <si>
    <t>Maneuver (Exotic Vehicle)</t>
  </si>
  <si>
    <t>Maneuver (Ground Craft)</t>
  </si>
  <si>
    <t>Maneuver (Watercraft)</t>
  </si>
  <si>
    <t>Targeting (Automatics)</t>
  </si>
  <si>
    <t>Targeting (Exotic Ranged Weapons)</t>
  </si>
  <si>
    <t>Targeting (Heavy Weapons)</t>
  </si>
  <si>
    <t>Targeting (Longarms)</t>
  </si>
  <si>
    <t>Targeting (Pistols)</t>
  </si>
  <si>
    <t>METAHUMANS</t>
  </si>
  <si>
    <t>BP</t>
  </si>
  <si>
    <t>BOD</t>
  </si>
  <si>
    <t>AGI</t>
  </si>
  <si>
    <t>REA</t>
  </si>
  <si>
    <t>STR</t>
  </si>
  <si>
    <t>CHA</t>
  </si>
  <si>
    <t>INT</t>
  </si>
  <si>
    <t>LOG</t>
  </si>
  <si>
    <t>WIL</t>
  </si>
  <si>
    <t>INI</t>
  </si>
  <si>
    <t>Ork</t>
  </si>
  <si>
    <t>Dwarf</t>
  </si>
  <si>
    <t>Elf</t>
  </si>
  <si>
    <t>Troll</t>
  </si>
  <si>
    <t>Dam Overflow:</t>
  </si>
  <si>
    <t>¥</t>
  </si>
  <si>
    <t>Ambidextrous</t>
  </si>
  <si>
    <t>Animal Empathy</t>
  </si>
  <si>
    <t xml:space="preserve">Aptitude </t>
  </si>
  <si>
    <t>Astral Chameleon</t>
  </si>
  <si>
    <t xml:space="preserve">Blandness </t>
  </si>
  <si>
    <t xml:space="preserve">Codeslinger </t>
  </si>
  <si>
    <t xml:space="preserve">Double Jointed </t>
  </si>
  <si>
    <t>Exceptional Attribute, Body</t>
  </si>
  <si>
    <t>Exceptional Attribute, Agility</t>
  </si>
  <si>
    <t>Exceptional Attribute, Reaction</t>
  </si>
  <si>
    <t>Exceptional Attribute, Strength</t>
  </si>
  <si>
    <t>Exceptional Attribute, Charisma</t>
  </si>
  <si>
    <t>Exceptional Attribute, Intuition</t>
  </si>
  <si>
    <t>Exceptional Attribute, Logic</t>
  </si>
  <si>
    <t>Exceptional Attribute, Willpower</t>
  </si>
  <si>
    <t xml:space="preserve">First Impression </t>
  </si>
  <si>
    <t>Focused Concentration I</t>
  </si>
  <si>
    <t>Focused Concentration II</t>
  </si>
  <si>
    <t xml:space="preserve">Guts </t>
  </si>
  <si>
    <t>High Pain Tolerance I</t>
  </si>
  <si>
    <t>High Pain Tolerance II</t>
  </si>
  <si>
    <t>High Pain Tolerance III</t>
  </si>
  <si>
    <t xml:space="preserve">Home Ground </t>
  </si>
  <si>
    <t xml:space="preserve">Human Looking </t>
  </si>
  <si>
    <t>Lucky</t>
  </si>
  <si>
    <t>Magician</t>
  </si>
  <si>
    <t>Magic Resistance I</t>
  </si>
  <si>
    <t>Magic Resistance II</t>
  </si>
  <si>
    <t>Magic Resistance III</t>
  </si>
  <si>
    <t>Magic Resistance IV</t>
  </si>
  <si>
    <t xml:space="preserve">Mentor Spirit </t>
  </si>
  <si>
    <t xml:space="preserve">Murky Link </t>
  </si>
  <si>
    <t>Mystic Adept</t>
  </si>
  <si>
    <t>Natural Hardening</t>
  </si>
  <si>
    <t>Natural Immunity I</t>
  </si>
  <si>
    <t>Natural Immunity II</t>
  </si>
  <si>
    <t>Photographic Memory</t>
  </si>
  <si>
    <t>Quick Healer</t>
  </si>
  <si>
    <t>Resistance to Pathogens/Toxins I</t>
  </si>
  <si>
    <t>Resistance to Pathogens/Toxins II</t>
  </si>
  <si>
    <t>Spirit Affinity</t>
  </si>
  <si>
    <t>Toughness</t>
  </si>
  <si>
    <t>Will to Live I</t>
  </si>
  <si>
    <t>Will to Live II</t>
  </si>
  <si>
    <t>Will to Live III</t>
  </si>
  <si>
    <t>Addiction, Mild</t>
  </si>
  <si>
    <t>Addiction, Moderate</t>
  </si>
  <si>
    <t>Addiction, Severe</t>
  </si>
  <si>
    <t>Addiction, Burnout</t>
  </si>
  <si>
    <t>Allergy, Uncommon/Mild</t>
  </si>
  <si>
    <t>Allergy, Uncommon/Moderate</t>
  </si>
  <si>
    <t>Allergy, Uncommon/Severe</t>
  </si>
  <si>
    <t>Allergy, Common/Mild</t>
  </si>
  <si>
    <t>Allergy, Common/Moderate</t>
  </si>
  <si>
    <t>Allergy, Common/Severe</t>
  </si>
  <si>
    <t>Astral Beacon</t>
  </si>
  <si>
    <t>Bad Luck</t>
  </si>
  <si>
    <t>Codeblock</t>
  </si>
  <si>
    <t>Combat Paralysis</t>
  </si>
  <si>
    <t>Elf Poser</t>
  </si>
  <si>
    <t>Gremlins I</t>
  </si>
  <si>
    <t>Gremlins II</t>
  </si>
  <si>
    <t>Gremlins III</t>
  </si>
  <si>
    <t>Gremlins IV</t>
  </si>
  <si>
    <t>Incompetent</t>
  </si>
  <si>
    <t>Infirm</t>
  </si>
  <si>
    <t>Low Pain Tolerance</t>
  </si>
  <si>
    <t>Ork Poser</t>
  </si>
  <si>
    <t>Scorched</t>
  </si>
  <si>
    <t>Sensitive Neural Structure</t>
  </si>
  <si>
    <t>Sensitive System</t>
  </si>
  <si>
    <t>Simsense Vertigo</t>
  </si>
  <si>
    <t>SINner, Standard</t>
  </si>
  <si>
    <t>SINner, Criminal</t>
  </si>
  <si>
    <t>Spirit Bane</t>
  </si>
  <si>
    <t>Uncouth</t>
  </si>
  <si>
    <t>Uneducated</t>
  </si>
  <si>
    <t>Weak Immune System</t>
  </si>
  <si>
    <t>Magic:</t>
  </si>
  <si>
    <t>Calculator F</t>
  </si>
  <si>
    <t>TRADITIONS</t>
  </si>
  <si>
    <t>Drain Stat</t>
  </si>
  <si>
    <t>Shamanic</t>
  </si>
  <si>
    <t>Drain Stat Used:</t>
  </si>
  <si>
    <t>Drain DV</t>
  </si>
  <si>
    <t>Drain DV (calculator)</t>
  </si>
  <si>
    <t>COMBAT SPELLS</t>
  </si>
  <si>
    <t>Acid Stream</t>
  </si>
  <si>
    <t>Indirect, Elemental</t>
  </si>
  <si>
    <t>P</t>
  </si>
  <si>
    <t>LOS</t>
  </si>
  <si>
    <t>Instant</t>
  </si>
  <si>
    <t>Toxic Wave</t>
  </si>
  <si>
    <t>Indirect, Elemental, Area</t>
  </si>
  <si>
    <t>Punch</t>
  </si>
  <si>
    <t>Indirect, Touch</t>
  </si>
  <si>
    <t>Touch</t>
  </si>
  <si>
    <t>Clout</t>
  </si>
  <si>
    <t>Indirect</t>
  </si>
  <si>
    <t>Blast</t>
  </si>
  <si>
    <t>Indirect, Area</t>
  </si>
  <si>
    <t>Death Touch</t>
  </si>
  <si>
    <t>Direct, Touch</t>
  </si>
  <si>
    <t>Manabolt</t>
  </si>
  <si>
    <t>Direct</t>
  </si>
  <si>
    <t>Manaball</t>
  </si>
  <si>
    <t>Direct, Area</t>
  </si>
  <si>
    <t>Flamethrower</t>
  </si>
  <si>
    <t>Fireball</t>
  </si>
  <si>
    <t>Lightning Bolt</t>
  </si>
  <si>
    <t>Ball Lightning</t>
  </si>
  <si>
    <t>Shatter</t>
  </si>
  <si>
    <t>Powerbolt</t>
  </si>
  <si>
    <t>Powerball</t>
  </si>
  <si>
    <t>Knockout</t>
  </si>
  <si>
    <t>Stunbolt</t>
  </si>
  <si>
    <t>Stunball</t>
  </si>
  <si>
    <t>DETECTION SPELLS</t>
  </si>
  <si>
    <t>Analyze Device</t>
  </si>
  <si>
    <t>Active, Directional</t>
  </si>
  <si>
    <t>Sustained</t>
  </si>
  <si>
    <t>Analyze Truth</t>
  </si>
  <si>
    <t>Clairaudience</t>
  </si>
  <si>
    <t>Passive, Directional</t>
  </si>
  <si>
    <t>Clairvoyance</t>
  </si>
  <si>
    <t>Combat Sense</t>
  </si>
  <si>
    <t>Active, Psychic</t>
  </si>
  <si>
    <t>Detect [Life Form]</t>
  </si>
  <si>
    <t>Active, Area</t>
  </si>
  <si>
    <t>Detect [Life Form], Extnd.</t>
  </si>
  <si>
    <t>Active, Extended Area</t>
  </si>
  <si>
    <t>Detect [Object]</t>
  </si>
  <si>
    <t>Detect [Object], Extnd.</t>
  </si>
  <si>
    <t>Detect Enemies</t>
  </si>
  <si>
    <t>Detect Enemies, Extnd.</t>
  </si>
  <si>
    <t>Detect Individual</t>
  </si>
  <si>
    <t>Detect Individual, Extnd.</t>
  </si>
  <si>
    <t>Detect Life</t>
  </si>
  <si>
    <t>Detect Life, Extnd.</t>
  </si>
  <si>
    <t>Detect Magic</t>
  </si>
  <si>
    <t>Detect Magic, Extnd.</t>
  </si>
  <si>
    <t>Mindlink</t>
  </si>
  <si>
    <t>Mind Probe</t>
  </si>
  <si>
    <t>HEALTH SPELLS</t>
  </si>
  <si>
    <t>Antidote</t>
  </si>
  <si>
    <t>Permanent</t>
  </si>
  <si>
    <t>Toxin DV - 2</t>
  </si>
  <si>
    <t>Cure Disease</t>
  </si>
  <si>
    <t>Disease DV- 2</t>
  </si>
  <si>
    <t>Decrease Agility</t>
  </si>
  <si>
    <t>Negative</t>
  </si>
  <si>
    <t>Agil - Net Hits</t>
  </si>
  <si>
    <t>Decrease Body</t>
  </si>
  <si>
    <t>Bod - Net Hits</t>
  </si>
  <si>
    <t>Decrease Charisma</t>
  </si>
  <si>
    <t>Cha - Net Hits</t>
  </si>
  <si>
    <t>Decrease Intuition</t>
  </si>
  <si>
    <t>Intu - Net Hits</t>
  </si>
  <si>
    <t>Decrease Logic</t>
  </si>
  <si>
    <t>Log - Net Hits</t>
  </si>
  <si>
    <t>Decrease Reaction</t>
  </si>
  <si>
    <t>Rea - Net Hits</t>
  </si>
  <si>
    <t>Decrease Strength</t>
  </si>
  <si>
    <t>Str - Net Hits</t>
  </si>
  <si>
    <t>Decrease Willpower</t>
  </si>
  <si>
    <t>Will - Net Hits</t>
  </si>
  <si>
    <t>Detox</t>
  </si>
  <si>
    <t>Heal</t>
  </si>
  <si>
    <t>DV-2</t>
  </si>
  <si>
    <t>Hibernate</t>
  </si>
  <si>
    <t>Increase Agility</t>
  </si>
  <si>
    <t>Agil + Net Hits</t>
  </si>
  <si>
    <t>Increase Body</t>
  </si>
  <si>
    <t>Bod + Net Hits</t>
  </si>
  <si>
    <t>Increase Charisma</t>
  </si>
  <si>
    <t>Cha + Net Hits</t>
  </si>
  <si>
    <t>Increase Intuition</t>
  </si>
  <si>
    <t>Intu + Net Hits</t>
  </si>
  <si>
    <t>Increase Logic</t>
  </si>
  <si>
    <t>Log + Net Hits</t>
  </si>
  <si>
    <t>Increase Reaction</t>
  </si>
  <si>
    <t>Rea + Net Hits</t>
  </si>
  <si>
    <t>Increase Strength</t>
  </si>
  <si>
    <t>Str + Net Hits</t>
  </si>
  <si>
    <t>Increase Willpower</t>
  </si>
  <si>
    <t>Will + Net Hits</t>
  </si>
  <si>
    <t>Increase Reflexes</t>
  </si>
  <si>
    <t>+1 Init &amp; Pass/(hit+1)</t>
  </si>
  <si>
    <t>Oxygenate</t>
  </si>
  <si>
    <t>+1 bod/hit &amp; water breath</t>
  </si>
  <si>
    <t>Prophylaxis</t>
  </si>
  <si>
    <t>+1 die/hit resist</t>
  </si>
  <si>
    <t>Resist Pain</t>
  </si>
  <si>
    <t>ignore 1 box dmg/hit</t>
  </si>
  <si>
    <t>Stabilize</t>
  </si>
  <si>
    <t>Overflow DV - 2</t>
  </si>
  <si>
    <t>ILLUSION SPELLS</t>
  </si>
  <si>
    <t>Confusion</t>
  </si>
  <si>
    <t>Realistic, Multi-Sense</t>
  </si>
  <si>
    <t>Mass Confusion</t>
  </si>
  <si>
    <t>Realistic, Multi-Sense, Area</t>
  </si>
  <si>
    <t>LOS (A)</t>
  </si>
  <si>
    <t>Chaos</t>
  </si>
  <si>
    <t>Chaotic World</t>
  </si>
  <si>
    <t>Entertainment</t>
  </si>
  <si>
    <t>Obvious, Multi-Sense, Area</t>
  </si>
  <si>
    <t>Trid Entertainment</t>
  </si>
  <si>
    <t>Invisibility</t>
  </si>
  <si>
    <t>Realistic, Single-Sense</t>
  </si>
  <si>
    <t>Improved Invisibility</t>
  </si>
  <si>
    <t>Mask</t>
  </si>
  <si>
    <t>Physical Mask</t>
  </si>
  <si>
    <t>Phantasm</t>
  </si>
  <si>
    <t>Trid Phantasm</t>
  </si>
  <si>
    <t>Hush</t>
  </si>
  <si>
    <t>Realistic, Single-Sense, Area</t>
  </si>
  <si>
    <t>Silence</t>
  </si>
  <si>
    <t>MANIPULATION SPELLS</t>
  </si>
  <si>
    <t>Physical</t>
  </si>
  <si>
    <t>Control Actions</t>
  </si>
  <si>
    <t>Mental</t>
  </si>
  <si>
    <t>Mob Control</t>
  </si>
  <si>
    <t>Mental, Area</t>
  </si>
  <si>
    <t>Control Emotions</t>
  </si>
  <si>
    <t>Mob Mood</t>
  </si>
  <si>
    <t>Control Thoughts</t>
  </si>
  <si>
    <t>Mob Mind</t>
  </si>
  <si>
    <t>Fling</t>
  </si>
  <si>
    <t>Ice Sheet</t>
  </si>
  <si>
    <t>Environmental, Area</t>
  </si>
  <si>
    <t>Ignite</t>
  </si>
  <si>
    <t>Influence</t>
  </si>
  <si>
    <t>Levitate</t>
  </si>
  <si>
    <t>Light</t>
  </si>
  <si>
    <t>Magic Fingers</t>
  </si>
  <si>
    <t>Mana Barrier</t>
  </si>
  <si>
    <t>Petrify</t>
  </si>
  <si>
    <t>Physical Barrier</t>
  </si>
  <si>
    <t>Poltergeist</t>
  </si>
  <si>
    <t>Shadow</t>
  </si>
  <si>
    <t>Shapechange</t>
  </si>
  <si>
    <t>(Critter) Form</t>
  </si>
  <si>
    <t>Turn to Goo</t>
  </si>
  <si>
    <t>END OF TABLE</t>
  </si>
  <si>
    <t>Biotech Skill Group</t>
  </si>
  <si>
    <t>Close Combat Skill Group</t>
  </si>
  <si>
    <t>Conjuring Skill Group</t>
  </si>
  <si>
    <t>Cracking Skill Group</t>
  </si>
  <si>
    <t>Electronics Skill Group</t>
  </si>
  <si>
    <t>Firearms Skill Group</t>
  </si>
  <si>
    <t>Influence Skill Group</t>
  </si>
  <si>
    <t>Mechanic Skill Group</t>
  </si>
  <si>
    <t>Outdoors Skill Group</t>
  </si>
  <si>
    <t>Sorcery Skill Group</t>
  </si>
  <si>
    <t>Tasking Skill Group</t>
  </si>
  <si>
    <t>PPCost</t>
  </si>
  <si>
    <t>Agi</t>
  </si>
  <si>
    <t>Reac</t>
  </si>
  <si>
    <t>Str</t>
  </si>
  <si>
    <t>Cha</t>
  </si>
  <si>
    <t>In</t>
  </si>
  <si>
    <t>Log</t>
  </si>
  <si>
    <t>Will</t>
  </si>
  <si>
    <t>BodRes</t>
  </si>
  <si>
    <t>ArmP</t>
  </si>
  <si>
    <t>ArmI</t>
  </si>
  <si>
    <t>InitPass</t>
  </si>
  <si>
    <t>Dam</t>
  </si>
  <si>
    <t>Misc</t>
  </si>
  <si>
    <t>Astral Perception</t>
  </si>
  <si>
    <t>Allows you to perceive Astrally</t>
  </si>
  <si>
    <t>Attribute Boost</t>
  </si>
  <si>
    <t>Boosts attribute by hits on (Magic+Power Level) test for 2 x hits Combat Rounds</t>
  </si>
  <si>
    <t>dice Surprise and Attack Defense</t>
  </si>
  <si>
    <t>Critical Strike</t>
  </si>
  <si>
    <t xml:space="preserve">to unarmed DV </t>
  </si>
  <si>
    <t>Enhanced Perception</t>
  </si>
  <si>
    <t>dice to perception tests</t>
  </si>
  <si>
    <t>Great Leap</t>
  </si>
  <si>
    <t>to agility for jump tests</t>
  </si>
  <si>
    <t>Improved Ability, Combat Skills</t>
  </si>
  <si>
    <t>dice to linked combat skill</t>
  </si>
  <si>
    <t>Improved Ability, Physical Skills</t>
  </si>
  <si>
    <t>dice to linked physical skill</t>
  </si>
  <si>
    <t>Improved Physical Attribute, Body</t>
  </si>
  <si>
    <t>to body up to racial max (already calculated)</t>
  </si>
  <si>
    <t>Improved Physical Attribute, Agility</t>
  </si>
  <si>
    <t>to agility up to racial max (already calculated)</t>
  </si>
  <si>
    <t>Improved Physical Attribute, Reaction</t>
  </si>
  <si>
    <t>to reaction up to racial max (already calculated)</t>
  </si>
  <si>
    <t>Improved Physical Attribute, Strength</t>
  </si>
  <si>
    <t>to strength up to racial max (already calculated)</t>
  </si>
  <si>
    <t>Improved Reflexes I</t>
  </si>
  <si>
    <t>+1 Reaction/+1 Initiative Pass (already calculated)</t>
  </si>
  <si>
    <t>Improved Reflexes II</t>
  </si>
  <si>
    <t>+2 Reaction/+2 Initiative Pass (already calculated)</t>
  </si>
  <si>
    <t>Improved Reflexes III</t>
  </si>
  <si>
    <t>+3 Reaction/+3 Initiative Pass (already calculated)</t>
  </si>
  <si>
    <t>Improved Sense</t>
  </si>
  <si>
    <t>Direction, Scent, Taste, Flare Comp. or Sound Damp.</t>
  </si>
  <si>
    <t>Killing Hands</t>
  </si>
  <si>
    <t>Unarmed attacks deal lethal and bypass armor</t>
  </si>
  <si>
    <t>Kinesics</t>
  </si>
  <si>
    <t>to Social tests</t>
  </si>
  <si>
    <t>Missile Parry</t>
  </si>
  <si>
    <t>dice to missile parry</t>
  </si>
  <si>
    <t>Mystic Armor</t>
  </si>
  <si>
    <t>Balistic/Impact Armor</t>
  </si>
  <si>
    <t>Pain Resistance</t>
  </si>
  <si>
    <t>-1 to damage box/+2 dice to resist pain</t>
  </si>
  <si>
    <t>Rapid Healing</t>
  </si>
  <si>
    <t>dice to healing tests</t>
  </si>
  <si>
    <t>Voice Control</t>
  </si>
  <si>
    <t>Control pitch of voice</t>
  </si>
  <si>
    <t>Natural Immunity</t>
  </si>
  <si>
    <t>dice for resistance tests vs. toxin/disease</t>
  </si>
  <si>
    <t>Spell Resitance</t>
  </si>
  <si>
    <t>dice to resist spells</t>
  </si>
  <si>
    <t>LIFESTYLE</t>
  </si>
  <si>
    <t>1D6</t>
  </si>
  <si>
    <t>Squatter</t>
  </si>
  <si>
    <t>2D6</t>
  </si>
  <si>
    <t>3D6</t>
  </si>
  <si>
    <t>Middle</t>
  </si>
  <si>
    <t>4D6</t>
  </si>
  <si>
    <t>High</t>
  </si>
  <si>
    <t>Luxury</t>
  </si>
  <si>
    <t>Reach:</t>
  </si>
  <si>
    <t>Unarmed:</t>
  </si>
  <si>
    <t>MELEE WEAPONS</t>
  </si>
  <si>
    <t>Availability</t>
  </si>
  <si>
    <t>Combat Axe</t>
  </si>
  <si>
    <t>8R</t>
  </si>
  <si>
    <t>Forearm Snap Blades</t>
  </si>
  <si>
    <t>6R</t>
  </si>
  <si>
    <t>Katana</t>
  </si>
  <si>
    <t>4R</t>
  </si>
  <si>
    <t>Monofilament Sword</t>
  </si>
  <si>
    <t>Survival Knife</t>
  </si>
  <si>
    <t>Sword</t>
  </si>
  <si>
    <t>Club</t>
  </si>
  <si>
    <t>Extendable Baton</t>
  </si>
  <si>
    <t>Sap</t>
  </si>
  <si>
    <t>Staff</t>
  </si>
  <si>
    <t>Stun Baton</t>
  </si>
  <si>
    <t>6S(e)</t>
  </si>
  <si>
    <t>-half</t>
  </si>
  <si>
    <t>Polearm</t>
  </si>
  <si>
    <t>Monofilament Chainsaw</t>
  </si>
  <si>
    <t>5P</t>
  </si>
  <si>
    <t>Monofilament Whip</t>
  </si>
  <si>
    <t>8P</t>
  </si>
  <si>
    <t>12F</t>
  </si>
  <si>
    <t>Shock Glove</t>
  </si>
  <si>
    <t>5S(e)</t>
  </si>
  <si>
    <t>3R</t>
  </si>
  <si>
    <t>Riot Shield</t>
  </si>
  <si>
    <t>Taser Armor/Shield</t>
  </si>
  <si>
    <t>CYBERWEAPONS</t>
  </si>
  <si>
    <t>Hand Blade</t>
  </si>
  <si>
    <t>Hand Razors</t>
  </si>
  <si>
    <t>Shock Hand</t>
  </si>
  <si>
    <t>Spurs</t>
  </si>
  <si>
    <t>PROJECTILES AND GUNS</t>
  </si>
  <si>
    <t>BOWS</t>
  </si>
  <si>
    <t>Rshort</t>
  </si>
  <si>
    <t>Rmed</t>
  </si>
  <si>
    <t>Rlong</t>
  </si>
  <si>
    <t>Rext</t>
  </si>
  <si>
    <t>Ammo</t>
  </si>
  <si>
    <t>Av</t>
  </si>
  <si>
    <t>Bow (Min Str Rating 1)</t>
  </si>
  <si>
    <t>Bow</t>
  </si>
  <si>
    <t>SS</t>
  </si>
  <si>
    <t>0-1m</t>
  </si>
  <si>
    <t>2-10m</t>
  </si>
  <si>
    <t>11-30m</t>
  </si>
  <si>
    <t>31-60m</t>
  </si>
  <si>
    <t>Bow (Min Str Rating 2)</t>
  </si>
  <si>
    <t>0-2m</t>
  </si>
  <si>
    <t>3-20m</t>
  </si>
  <si>
    <t>21-60m</t>
  </si>
  <si>
    <t>61-120m</t>
  </si>
  <si>
    <t>Bow (Min Str Rating 3)</t>
  </si>
  <si>
    <t>0-3m</t>
  </si>
  <si>
    <t>4-30m</t>
  </si>
  <si>
    <t>31-90m</t>
  </si>
  <si>
    <t>91-180m</t>
  </si>
  <si>
    <t>Bow (Min Str Rating 4)</t>
  </si>
  <si>
    <t>0-4m</t>
  </si>
  <si>
    <t>5-40m</t>
  </si>
  <si>
    <t>41-120m</t>
  </si>
  <si>
    <t>121-240m</t>
  </si>
  <si>
    <t>Bow (Min Str Rating 5)</t>
  </si>
  <si>
    <t>0-5m</t>
  </si>
  <si>
    <t>6-50m</t>
  </si>
  <si>
    <t>51-150m</t>
  </si>
  <si>
    <t>151-300m</t>
  </si>
  <si>
    <t>Bow (Min Str Rating 6)</t>
  </si>
  <si>
    <t>0-6m</t>
  </si>
  <si>
    <t>7-60m</t>
  </si>
  <si>
    <t>61-180m</t>
  </si>
  <si>
    <t>181-360m</t>
  </si>
  <si>
    <t>Bow (Min Str Rating 7)</t>
  </si>
  <si>
    <t>0-7m</t>
  </si>
  <si>
    <t>8-70m</t>
  </si>
  <si>
    <t>71-210m</t>
  </si>
  <si>
    <t>211-420m</t>
  </si>
  <si>
    <t>Bow (Min Str Rating 8)</t>
  </si>
  <si>
    <t>0-8m</t>
  </si>
  <si>
    <t>9-80m</t>
  </si>
  <si>
    <t>81-240m</t>
  </si>
  <si>
    <t>241-480m</t>
  </si>
  <si>
    <t>Bow (Min Str Rating 9)</t>
  </si>
  <si>
    <t>0-9m</t>
  </si>
  <si>
    <t>10-90m</t>
  </si>
  <si>
    <t>91-270m</t>
  </si>
  <si>
    <t>271-540m</t>
  </si>
  <si>
    <t>Bow (Min Str Rating 10)</t>
  </si>
  <si>
    <t>0-10m</t>
  </si>
  <si>
    <t>11-100m</t>
  </si>
  <si>
    <t>101-300m</t>
  </si>
  <si>
    <t>301-600m</t>
  </si>
  <si>
    <t>Light Crossbow</t>
  </si>
  <si>
    <t>4(m)</t>
  </si>
  <si>
    <t>Medium Crossbow</t>
  </si>
  <si>
    <t>Heavy Crossbow</t>
  </si>
  <si>
    <t>THROWN WEAPONS</t>
  </si>
  <si>
    <t>Thrown Knife (cost per 10)</t>
  </si>
  <si>
    <t>Thrown Wpn</t>
  </si>
  <si>
    <t>Shuriken (cost per 10)</t>
  </si>
  <si>
    <t>TASERS</t>
  </si>
  <si>
    <t>Defiance EX Shocker</t>
  </si>
  <si>
    <t>Taser</t>
  </si>
  <si>
    <t>Yamaha Pulsar</t>
  </si>
  <si>
    <t>SA</t>
  </si>
  <si>
    <t>HOLD-OUT PISTOL</t>
  </si>
  <si>
    <t>Raecor Sting (flech)</t>
  </si>
  <si>
    <t>Hold-out Pistol</t>
  </si>
  <si>
    <t>6-15m</t>
  </si>
  <si>
    <t>16-30m</t>
  </si>
  <si>
    <t>31-50m</t>
  </si>
  <si>
    <t>5(c)</t>
  </si>
  <si>
    <t>Streetline Special</t>
  </si>
  <si>
    <t>6(c)</t>
  </si>
  <si>
    <t>LIGHT PISTOLS</t>
  </si>
  <si>
    <t>Colt America L36</t>
  </si>
  <si>
    <t>Light Pistol</t>
  </si>
  <si>
    <t>11(c)</t>
  </si>
  <si>
    <t>Flechetti Security 600</t>
  </si>
  <si>
    <t>(1)</t>
  </si>
  <si>
    <t>30(c)</t>
  </si>
  <si>
    <t>Hammerli 620S</t>
  </si>
  <si>
    <t>6-20m</t>
  </si>
  <si>
    <t>21-40m</t>
  </si>
  <si>
    <t>41-60m</t>
  </si>
  <si>
    <t>Yamaha Sakura Fubuki</t>
  </si>
  <si>
    <t>SA/BF</t>
  </si>
  <si>
    <t>10(ml) x 4</t>
  </si>
  <si>
    <t>10R</t>
  </si>
  <si>
    <t>HEAVY PISTOLS</t>
  </si>
  <si>
    <t>Heavy Pistol</t>
  </si>
  <si>
    <t>15(c)</t>
  </si>
  <si>
    <t>Ares Viper Silvergun</t>
  </si>
  <si>
    <t>8P(f)</t>
  </si>
  <si>
    <t>5R</t>
  </si>
  <si>
    <t>Colt Manhunter</t>
  </si>
  <si>
    <t>16(c)</t>
  </si>
  <si>
    <t>Remington Roomsweeper</t>
  </si>
  <si>
    <t>8(m)</t>
  </si>
  <si>
    <r>
      <t xml:space="preserve">  </t>
    </r>
    <r>
      <rPr>
        <sz val="8"/>
        <rFont val="Arial"/>
        <family val="2"/>
      </rPr>
      <t>+ with flechettes</t>
    </r>
  </si>
  <si>
    <t>Ruger Super Warhawk</t>
  </si>
  <si>
    <t>6(cy)</t>
  </si>
  <si>
    <t>MACHINE PISTOLS</t>
  </si>
  <si>
    <t>Ceska Black Scorpion</t>
  </si>
  <si>
    <t>Machine Pistol</t>
  </si>
  <si>
    <t>35(c)</t>
  </si>
  <si>
    <t>Steyr TMP</t>
  </si>
  <si>
    <t>SA/BF/FA</t>
  </si>
  <si>
    <t>SUBMACHINE GUNS</t>
  </si>
  <si>
    <t>AK-97 Carbine</t>
  </si>
  <si>
    <t>SMG</t>
  </si>
  <si>
    <t>11-40m</t>
  </si>
  <si>
    <t>41-80m</t>
  </si>
  <si>
    <t>81-150m</t>
  </si>
  <si>
    <t>HK-227X</t>
  </si>
  <si>
    <t>2(3)</t>
  </si>
  <si>
    <t>28(c)</t>
  </si>
  <si>
    <t>HK MP-5 TX</t>
  </si>
  <si>
    <t>20(c)</t>
  </si>
  <si>
    <t>Ingram Smartgun X</t>
  </si>
  <si>
    <t>BF/FA</t>
  </si>
  <si>
    <t>32(c)</t>
  </si>
  <si>
    <t>Uzi IV</t>
  </si>
  <si>
    <t>BF</t>
  </si>
  <si>
    <t>24(c)</t>
  </si>
  <si>
    <t>ASSAULT RIFLES</t>
  </si>
  <si>
    <t>AK-97</t>
  </si>
  <si>
    <t>Assault Rifle</t>
  </si>
  <si>
    <t>0-50m</t>
  </si>
  <si>
    <t>151-350m</t>
  </si>
  <si>
    <t>351-550m</t>
  </si>
  <si>
    <t>38(c)</t>
  </si>
  <si>
    <t>Ares Alpha</t>
  </si>
  <si>
    <t>42(c)</t>
  </si>
  <si>
    <t xml:space="preserve">  + Grenade Launcher</t>
  </si>
  <si>
    <t>Grenade</t>
  </si>
  <si>
    <t>5-50m</t>
  </si>
  <si>
    <t>51-100m</t>
  </si>
  <si>
    <t>101-150m</t>
  </si>
  <si>
    <t>151-500m</t>
  </si>
  <si>
    <t>FN HAR</t>
  </si>
  <si>
    <t>HK XM30</t>
  </si>
  <si>
    <t>15F</t>
  </si>
  <si>
    <t>8(c)</t>
  </si>
  <si>
    <t xml:space="preserve">  + Shotgun</t>
  </si>
  <si>
    <t>Shotgun</t>
  </si>
  <si>
    <t>10(c)</t>
  </si>
  <si>
    <t xml:space="preserve">  + Carbine</t>
  </si>
  <si>
    <t>Carbine</t>
  </si>
  <si>
    <t xml:space="preserve">  + Sniper</t>
  </si>
  <si>
    <t>Sniper Rifle</t>
  </si>
  <si>
    <t>0-150m</t>
  </si>
  <si>
    <t>351-800m</t>
  </si>
  <si>
    <t>801-1500m</t>
  </si>
  <si>
    <t xml:space="preserve">  + LMG</t>
  </si>
  <si>
    <t>Machine Gun</t>
  </si>
  <si>
    <t>0-80m</t>
  </si>
  <si>
    <t>81-250m</t>
  </si>
  <si>
    <t>251-750m</t>
  </si>
  <si>
    <t>751-1200m</t>
  </si>
  <si>
    <t>100(belt)</t>
  </si>
  <si>
    <t>SPORT RIFLES</t>
  </si>
  <si>
    <t>Ruger 100</t>
  </si>
  <si>
    <t>Sport Rifle</t>
  </si>
  <si>
    <t>0-100m</t>
  </si>
  <si>
    <t>101-250m</t>
  </si>
  <si>
    <t>251-500m</t>
  </si>
  <si>
    <t>501-750m</t>
  </si>
  <si>
    <t>5(m)</t>
  </si>
  <si>
    <t>PJSS Elephant Rifle</t>
  </si>
  <si>
    <t>2(b)</t>
  </si>
  <si>
    <t>12R</t>
  </si>
  <si>
    <t>SNIPER RIFLES</t>
  </si>
  <si>
    <t>Ranger Arms SM-4</t>
  </si>
  <si>
    <t>16F</t>
  </si>
  <si>
    <t>Walter MA-2100</t>
  </si>
  <si>
    <t>10(m)</t>
  </si>
  <si>
    <t>10F</t>
  </si>
  <si>
    <t>SHOTGUNS</t>
  </si>
  <si>
    <t>Mossberg AM-CMDT (flech)</t>
  </si>
  <si>
    <t>11-25m</t>
  </si>
  <si>
    <t>26-40m</t>
  </si>
  <si>
    <t>Remington 990</t>
  </si>
  <si>
    <t>SPECIAL WEAPONS</t>
  </si>
  <si>
    <t>Ares S-III Super Squirt</t>
  </si>
  <si>
    <t>Special</t>
  </si>
  <si>
    <t>Flechetti Pain Inducer</t>
  </si>
  <si>
    <t>LIGHT MACHINE GUNS</t>
  </si>
  <si>
    <t>Ingram White Knight</t>
  </si>
  <si>
    <t>LMG</t>
  </si>
  <si>
    <t>5(6)</t>
  </si>
  <si>
    <t>50(c)/100(belt)</t>
  </si>
  <si>
    <t>MEDIUM MACHINE GUNS</t>
  </si>
  <si>
    <t>Stoner-Ares M202</t>
  </si>
  <si>
    <t>MMG</t>
  </si>
  <si>
    <t>FA</t>
  </si>
  <si>
    <t>HEAVY MACHINE GUNS</t>
  </si>
  <si>
    <t>Ultimax HMG-2</t>
  </si>
  <si>
    <t>HMG</t>
  </si>
  <si>
    <t>3(10)</t>
  </si>
  <si>
    <t>ASSAULT CANNONS</t>
  </si>
  <si>
    <t>Panther XXL</t>
  </si>
  <si>
    <t>Assault Cannon</t>
  </si>
  <si>
    <t>301-750m</t>
  </si>
  <si>
    <t>751-1500m</t>
  </si>
  <si>
    <t>20F</t>
  </si>
  <si>
    <t>GRENADE LAUNCHERS</t>
  </si>
  <si>
    <t>Ares Antioch-2</t>
  </si>
  <si>
    <t>8F</t>
  </si>
  <si>
    <t>ArmTech MGL-2</t>
  </si>
  <si>
    <t>12(c)</t>
  </si>
  <si>
    <t>MISSILE LAUNCHERS</t>
  </si>
  <si>
    <t>Aztechnology Striker</t>
  </si>
  <si>
    <t>Missile</t>
  </si>
  <si>
    <t>20-70m</t>
  </si>
  <si>
    <t>71-150m</t>
  </si>
  <si>
    <t>151-450m</t>
  </si>
  <si>
    <t>451-1500m</t>
  </si>
  <si>
    <t>1(ml)</t>
  </si>
  <si>
    <t>Mitsubishi YakuSoku MRL</t>
  </si>
  <si>
    <t>EXOTIC RANGED WEAPONS</t>
  </si>
  <si>
    <t>Micro Flare Launcher</t>
  </si>
  <si>
    <t>Exotic Wpn.</t>
  </si>
  <si>
    <t>Grapple Gun</t>
  </si>
  <si>
    <t>Cyber Holdout</t>
  </si>
  <si>
    <t>Cyberweapon</t>
  </si>
  <si>
    <t>2(m)/6(c)</t>
  </si>
  <si>
    <t>Light Cyber Pistol</t>
  </si>
  <si>
    <t>12(m)/12(c)</t>
  </si>
  <si>
    <t>Cyber Machine Pistol</t>
  </si>
  <si>
    <t>12(m)/35(c)</t>
  </si>
  <si>
    <t>Heavy Cyber Pistol</t>
  </si>
  <si>
    <t>10(m)/10(c)</t>
  </si>
  <si>
    <t>Cyber Submachine Gun</t>
  </si>
  <si>
    <t>12(m)/24(c)</t>
  </si>
  <si>
    <t>Cyber Shotgun</t>
  </si>
  <si>
    <t>10(m)/10(cy)</t>
  </si>
  <si>
    <t>Cyber Microgrenade Launcher</t>
  </si>
  <si>
    <t>Imaging Scope</t>
  </si>
  <si>
    <t>Laser Sight</t>
  </si>
  <si>
    <t>Periscope</t>
  </si>
  <si>
    <t>Smartgun System, External</t>
  </si>
  <si>
    <t>Gas-Vent 2 System</t>
  </si>
  <si>
    <t>Gas-Vent 3 System</t>
  </si>
  <si>
    <t>Silencer</t>
  </si>
  <si>
    <t>Sound Suppressor</t>
  </si>
  <si>
    <t>Bipod</t>
  </si>
  <si>
    <t>Gyro Stabilization</t>
  </si>
  <si>
    <t>Smart Firing Platform</t>
  </si>
  <si>
    <t>Tripod</t>
  </si>
  <si>
    <t>WEAPON &amp; ACC GATHER</t>
  </si>
  <si>
    <t>AMMO TYPES</t>
  </si>
  <si>
    <t>DamType</t>
  </si>
  <si>
    <t>Explosive Rounds</t>
  </si>
  <si>
    <t>EX Explosive Rounds</t>
  </si>
  <si>
    <t>Flechette Rounds</t>
  </si>
  <si>
    <t>P(f)</t>
  </si>
  <si>
    <t>2R</t>
  </si>
  <si>
    <t>Regular Rounds</t>
  </si>
  <si>
    <t>Stick 'n' Shock Rounds</t>
  </si>
  <si>
    <t>S(e)</t>
  </si>
  <si>
    <t>Assault Cannon Rounds</t>
  </si>
  <si>
    <t>GRENADES</t>
  </si>
  <si>
    <t>Flash-Bang Grenade</t>
  </si>
  <si>
    <t>Flash-Pak</t>
  </si>
  <si>
    <t>Frag Grenade</t>
  </si>
  <si>
    <t>HE Grenade</t>
  </si>
  <si>
    <t>7F</t>
  </si>
  <si>
    <t>Smoke Grenade</t>
  </si>
  <si>
    <t>Thermal Grenade</t>
  </si>
  <si>
    <t>ROCKETS/MISSILES</t>
  </si>
  <si>
    <t>Anti-Vehicle Missile/Rocket</t>
  </si>
  <si>
    <t>Frag Missile/Rocket</t>
  </si>
  <si>
    <t>HE Missile/Rocket</t>
  </si>
  <si>
    <t>EXPLOSIVES</t>
  </si>
  <si>
    <t>1kg Commercial Explosive (Rating 3)</t>
  </si>
  <si>
    <t>1kg Foam Explosive (Rating 4)</t>
  </si>
  <si>
    <t>1kg Foam Explosive (Rating 5)</t>
  </si>
  <si>
    <t>1kg Foam Explosive (Rating 6)</t>
  </si>
  <si>
    <t>1kg Foam Explosive (Rating 7)</t>
  </si>
  <si>
    <t>1kg Foam Explosive (Rating 8)</t>
  </si>
  <si>
    <t>1kg Foam Explosive (Rating 9)</t>
  </si>
  <si>
    <t>1kg Foam Explosive (Rating 10)</t>
  </si>
  <si>
    <t>1kg Foam Explosive (Rating 11)</t>
  </si>
  <si>
    <t>1kg Foam Explosive (Rating 12)</t>
  </si>
  <si>
    <t>1kg Foam Explosive (Rating 13)</t>
  </si>
  <si>
    <t>1kg Foam Explosive (Rating 14)</t>
  </si>
  <si>
    <t>1kg Foam Explosive (Rating 15)</t>
  </si>
  <si>
    <t>1kg Plastic Explosive (Rating 4)</t>
  </si>
  <si>
    <t>1kg Plastic Explosive (Rating 5)</t>
  </si>
  <si>
    <t>1kg Plastic Explosive (Rating 6)</t>
  </si>
  <si>
    <t>1kg Plastic Explosive (Rating 7)</t>
  </si>
  <si>
    <t>1kg Plastic Explosive (Rating 8)</t>
  </si>
  <si>
    <t>1kg Plastic Explosive (Rating 9)</t>
  </si>
  <si>
    <t>1kg Plastic Explosive (Rating 10)</t>
  </si>
  <si>
    <t>1kg Plastic Explosive (Rating 11)</t>
  </si>
  <si>
    <t>1kg Plastic Explosive (Rating 12)</t>
  </si>
  <si>
    <t>1kg Plastic Explosive (Rating 13)</t>
  </si>
  <si>
    <t>1kg Plastic Explosive (Rating 14)</t>
  </si>
  <si>
    <t>1kg Plastic Explosive (Rating 15)</t>
  </si>
  <si>
    <t>Detonator Cap</t>
  </si>
  <si>
    <t>SPECIAL</t>
  </si>
  <si>
    <t>COMMLINK UPGRADE</t>
  </si>
  <si>
    <t>Resp</t>
  </si>
  <si>
    <t>Sign</t>
  </si>
  <si>
    <t>Avai</t>
  </si>
  <si>
    <t>ARMOR</t>
  </si>
  <si>
    <t>Ball</t>
  </si>
  <si>
    <t>Actioneer Business Clothes</t>
  </si>
  <si>
    <t>Armor Clothing</t>
  </si>
  <si>
    <t>Armor Vest</t>
  </si>
  <si>
    <t>Camouflage Suit</t>
  </si>
  <si>
    <t>Chameleon Suit</t>
  </si>
  <si>
    <t>Full Body Armor</t>
  </si>
  <si>
    <t>14R</t>
  </si>
  <si>
    <t>Full Body Armor (w/ Helmet)</t>
  </si>
  <si>
    <t>Leather Jacket</t>
  </si>
  <si>
    <t>Lined Coat</t>
  </si>
  <si>
    <t>Urban Explorer Jumpsuit</t>
  </si>
  <si>
    <t>Urban Explorer Jumpsuit (w/ Helmet)</t>
  </si>
  <si>
    <t>Encubrance</t>
  </si>
  <si>
    <t>BiggestArmor</t>
  </si>
  <si>
    <t>Penalty</t>
  </si>
  <si>
    <t>Base Avail</t>
  </si>
  <si>
    <t>Base Cost</t>
  </si>
  <si>
    <t>Spellcasting Focus</t>
  </si>
  <si>
    <t>Counterspelling Focus</t>
  </si>
  <si>
    <t>Sustaining Focus</t>
  </si>
  <si>
    <t>Summoning Focus</t>
  </si>
  <si>
    <t>Banishing Focus</t>
  </si>
  <si>
    <t>Binding Focus</t>
  </si>
  <si>
    <t>Weapon Focus</t>
  </si>
  <si>
    <t>Power Focus</t>
  </si>
  <si>
    <t>FOCI GATHER</t>
  </si>
  <si>
    <t>F</t>
  </si>
  <si>
    <t>MISC GEAR</t>
  </si>
  <si>
    <t>CLOTHING AND ARMOR</t>
  </si>
  <si>
    <t>Leather Jacket (Ballistic/Impact - 2/2)</t>
  </si>
  <si>
    <t>Actioneer Business Clothes (Ballistic/Impact - 5/3)</t>
  </si>
  <si>
    <t>Armor Clothing (Ballistic/Impact - 4/0)</t>
  </si>
  <si>
    <t>Armor Jacket (Ballistic/Impact - 8/6)</t>
  </si>
  <si>
    <t>Armor Vest (Ballistic/Impact - 6/4)</t>
  </si>
  <si>
    <t>Camouflage Suit (Ballistic/Impact - 8/6)</t>
  </si>
  <si>
    <t>Chameleon Suit (Ballistic/Impact - 6/4)</t>
  </si>
  <si>
    <t>Full Body Armor (Ballistic/Impact - 10/8)</t>
  </si>
  <si>
    <t>Full Body Armor (w/ Helmet) (Ballistic/Impact - 12/10)</t>
  </si>
  <si>
    <t>Lined Coat (Ballistic/Impact - 6/4)</t>
  </si>
  <si>
    <t>Urban Explorer Jumpsuit (Ballistic/Impact - 6/6)</t>
  </si>
  <si>
    <t>Urban Explorer Jumpsuit (w/ Helmet) (Ballistic/Impact - 6/8)</t>
  </si>
  <si>
    <t>SHIELDS</t>
  </si>
  <si>
    <t>Helmet (Ballistic/Impact - +1/+2)</t>
  </si>
  <si>
    <t>Ballistic Shield (Ballistic/Impact - +6/+4)</t>
  </si>
  <si>
    <t>Riot Shield (Ballistic/Impact - +2/+6)</t>
  </si>
  <si>
    <t>Taser Shield (Ballistic/Impact - +2/+6)</t>
  </si>
  <si>
    <t>COMMLINK ACCESSORIES</t>
  </si>
  <si>
    <t>AR Gloves</t>
  </si>
  <si>
    <t>Biometric Reader</t>
  </si>
  <si>
    <t>Nanopaste Trodes</t>
  </si>
  <si>
    <t>Printer</t>
  </si>
  <si>
    <t>Satellite Link</t>
  </si>
  <si>
    <t>Sim Module</t>
  </si>
  <si>
    <t>Sim Module, Modified for HotSim/BTL</t>
  </si>
  <si>
    <t>4F</t>
  </si>
  <si>
    <t>Simrig</t>
  </si>
  <si>
    <t>Skinlink</t>
  </si>
  <si>
    <t>Trodes</t>
  </si>
  <si>
    <t>MISC ELECTRONICS</t>
  </si>
  <si>
    <t>Electronic Paper</t>
  </si>
  <si>
    <t>Holo Projector</t>
  </si>
  <si>
    <t>RFID TAGS</t>
  </si>
  <si>
    <t>20 Standard RFID Tags</t>
  </si>
  <si>
    <t>20 Security Tags</t>
  </si>
  <si>
    <t>20 Stealth Tags</t>
  </si>
  <si>
    <t>COMMUNICATIONS</t>
  </si>
  <si>
    <t>Headjammer (Rating 1)</t>
  </si>
  <si>
    <t>Headjammer (Rating 2)</t>
  </si>
  <si>
    <t>Headjammer (Rating 3)</t>
  </si>
  <si>
    <t>Headjammer (Rating 4)</t>
  </si>
  <si>
    <t>Headjammer (Rating 5)</t>
  </si>
  <si>
    <t>Headjammer (Rating 6)</t>
  </si>
  <si>
    <t>Jammer, Area (Rating 1)</t>
  </si>
  <si>
    <t>3F</t>
  </si>
  <si>
    <t>Jammer, Area (Rating 2)</t>
  </si>
  <si>
    <t>6F</t>
  </si>
  <si>
    <t>Jammer, Area (Rating 3)</t>
  </si>
  <si>
    <t>9F</t>
  </si>
  <si>
    <t>Jammer, Area (Rating 4)</t>
  </si>
  <si>
    <t>Jammer, Area (Rating 5)</t>
  </si>
  <si>
    <t>Jammer, Area (Rating 6)</t>
  </si>
  <si>
    <t>18F</t>
  </si>
  <si>
    <t>Jammer, Area (Rating 7)</t>
  </si>
  <si>
    <t>21F</t>
  </si>
  <si>
    <t>Jammer, Area (Rating 8)</t>
  </si>
  <si>
    <t>24F</t>
  </si>
  <si>
    <t>Jammer, Area (Rating 9)</t>
  </si>
  <si>
    <t>27F</t>
  </si>
  <si>
    <t>Jammer, Area (Rating 10)</t>
  </si>
  <si>
    <t>30F</t>
  </si>
  <si>
    <t>Jammer, Directional (Rating 1)</t>
  </si>
  <si>
    <t>2F</t>
  </si>
  <si>
    <t>Jammer, Directional (Rating 2)</t>
  </si>
  <si>
    <t>Jammer, Directional (Rating 3)</t>
  </si>
  <si>
    <t>Jammer, Directional (Rating 4)</t>
  </si>
  <si>
    <t>Jammer, Directional (Rating 5)</t>
  </si>
  <si>
    <t>Jammer, Directional (Rating 6)</t>
  </si>
  <si>
    <t>Jammer, Directional (Rating 7)</t>
  </si>
  <si>
    <t>14F</t>
  </si>
  <si>
    <t>Jammer, Directional (Rating 8)</t>
  </si>
  <si>
    <t>Jammer, Directional (Rating 9)</t>
  </si>
  <si>
    <t>Jammer, Directional (Rating 10)</t>
  </si>
  <si>
    <t>Micro-Transceiver (Rating 1)</t>
  </si>
  <si>
    <t>Micro-Transceiver (Rating 2)</t>
  </si>
  <si>
    <t>Micro-Transceiver (Rating 3)</t>
  </si>
  <si>
    <t>Micro-Transceiver (Rating 4)</t>
  </si>
  <si>
    <t>Micro-Transceiver (Rating 5)</t>
  </si>
  <si>
    <t>Micro-Transceiver (Rating 6)</t>
  </si>
  <si>
    <t>Tag Eraser</t>
  </si>
  <si>
    <t>White Noise Generator (Rating 1)</t>
  </si>
  <si>
    <t>White Noise Generator (Rating 2)</t>
  </si>
  <si>
    <t>White Noise Generator (Rating 3)</t>
  </si>
  <si>
    <t>White Noise Generator (Rating 4)</t>
  </si>
  <si>
    <t>White Noise Generator (Rating 5)</t>
  </si>
  <si>
    <t>White Noise Generator (Rating 6)</t>
  </si>
  <si>
    <t>SKILLSOFTS</t>
  </si>
  <si>
    <t>Activesoft (Rating 1)</t>
  </si>
  <si>
    <t>Activesoft (Rating 2)</t>
  </si>
  <si>
    <t>Knowsoft (Rating 1)</t>
  </si>
  <si>
    <t>Knowsoft (Rating 2)</t>
  </si>
  <si>
    <t>Knowsoft (Rating 3)</t>
  </si>
  <si>
    <t>Knowsoft (Rating 4)</t>
  </si>
  <si>
    <t>Linguasoft (Rating 1)</t>
  </si>
  <si>
    <t>Linguasoft (Rating 2)</t>
  </si>
  <si>
    <t>Linguasoft (Rating 3)</t>
  </si>
  <si>
    <t>Linguasoft (Rating 4)</t>
  </si>
  <si>
    <t>Linguasoft (Rating 5)</t>
  </si>
  <si>
    <t>ID/CREDSTICKS</t>
  </si>
  <si>
    <t>Certified Credstick</t>
  </si>
  <si>
    <t>Fake License, Rating 1</t>
  </si>
  <si>
    <t>Fake License, Rating 2</t>
  </si>
  <si>
    <t>Fake License, Rating 3</t>
  </si>
  <si>
    <t>Fake License, Rating 4</t>
  </si>
  <si>
    <t>Fake License, Rating 5</t>
  </si>
  <si>
    <t>Fake License, Rating 6</t>
  </si>
  <si>
    <t>Fake SIN, Rating 1</t>
  </si>
  <si>
    <t>Fake SIN, Rating 2</t>
  </si>
  <si>
    <t>Fake SIN, Rating 3</t>
  </si>
  <si>
    <t>Fake SIN, Rating 4</t>
  </si>
  <si>
    <t>Fake SIN, Rating 5</t>
  </si>
  <si>
    <t>Fake SIN, Rating 6</t>
  </si>
  <si>
    <t>TOOLS</t>
  </si>
  <si>
    <t>Kit</t>
  </si>
  <si>
    <t>Shop</t>
  </si>
  <si>
    <t>Facility</t>
  </si>
  <si>
    <t>VISION ENHANCEMENT</t>
  </si>
  <si>
    <t>Binoculars</t>
  </si>
  <si>
    <t>Glasses</t>
  </si>
  <si>
    <t>Goggles</t>
  </si>
  <si>
    <t>Endoscope</t>
  </si>
  <si>
    <t>Monocle</t>
  </si>
  <si>
    <t>Mage Sight Goggles</t>
  </si>
  <si>
    <t xml:space="preserve">  + Ultrasound</t>
  </si>
  <si>
    <t xml:space="preserve">  + Vision Enhancement I</t>
  </si>
  <si>
    <t xml:space="preserve">  + Vision Enhancement II</t>
  </si>
  <si>
    <t>AUDIO ENHANCEMENT</t>
  </si>
  <si>
    <t>Earbuds</t>
  </si>
  <si>
    <t>Headphones</t>
  </si>
  <si>
    <t xml:space="preserve">  + Audio Enhancement I</t>
  </si>
  <si>
    <t xml:space="preserve">  + Audio Enhancement II</t>
  </si>
  <si>
    <t xml:space="preserve">  + Audio Enhancement III</t>
  </si>
  <si>
    <t xml:space="preserve">  + Select Sound Filter I</t>
  </si>
  <si>
    <t xml:space="preserve">  + Select Sound Filter II</t>
  </si>
  <si>
    <t xml:space="preserve">  + Select Sound Filter III</t>
  </si>
  <si>
    <t xml:space="preserve">  + Spatial Recognizer</t>
  </si>
  <si>
    <t>SENSORS</t>
  </si>
  <si>
    <t>RFID - Capacity 1</t>
  </si>
  <si>
    <t>Micro - Capacity 1</t>
  </si>
  <si>
    <t>Handheld - Capacity 3</t>
  </si>
  <si>
    <t>Mounted - Capacity 5</t>
  </si>
  <si>
    <t>Large Drone - Capacity 8</t>
  </si>
  <si>
    <t>Vehicle - Capacity 12</t>
  </si>
  <si>
    <t xml:space="preserve">  + Atmosphere Sensor (Rating 1) [1]</t>
  </si>
  <si>
    <t xml:space="preserve">  + Atmosphere Sensor (Rating 2) [1]</t>
  </si>
  <si>
    <t xml:space="preserve">  + Atmosphere Sensor (Rating 3) [1]</t>
  </si>
  <si>
    <t xml:space="preserve">  + Camera [1]</t>
  </si>
  <si>
    <r>
      <t xml:space="preserve">  </t>
    </r>
    <r>
      <rPr>
        <sz val="8"/>
        <rFont val="Arial"/>
        <family val="2"/>
      </rPr>
      <t>+ Cyberware Scanner (Rating 1) [1]</t>
    </r>
  </si>
  <si>
    <r>
      <t xml:space="preserve">  </t>
    </r>
    <r>
      <rPr>
        <sz val="8"/>
        <rFont val="Arial"/>
        <family val="2"/>
      </rPr>
      <t>+ Cyberware Scanner (Rating 2) [1]</t>
    </r>
  </si>
  <si>
    <r>
      <t xml:space="preserve">  </t>
    </r>
    <r>
      <rPr>
        <sz val="8"/>
        <rFont val="Arial"/>
        <family val="2"/>
      </rPr>
      <t>+ Cyberware Scanner (Rating 3) [1]</t>
    </r>
  </si>
  <si>
    <r>
      <t xml:space="preserve">  </t>
    </r>
    <r>
      <rPr>
        <sz val="8"/>
        <rFont val="Arial"/>
        <family val="2"/>
      </rPr>
      <t>+ Cyberware Scanner (Rating 4) [1]</t>
    </r>
  </si>
  <si>
    <r>
      <t xml:space="preserve">  </t>
    </r>
    <r>
      <rPr>
        <sz val="8"/>
        <rFont val="Arial"/>
        <family val="2"/>
      </rPr>
      <t>+ Cyberware Scanner (Rating 5) [1]</t>
    </r>
  </si>
  <si>
    <r>
      <t xml:space="preserve">  </t>
    </r>
    <r>
      <rPr>
        <sz val="8"/>
        <rFont val="Arial"/>
        <family val="2"/>
      </rPr>
      <t>+ Cyberware Scanner (Rating 6) [1]</t>
    </r>
  </si>
  <si>
    <t xml:space="preserve">  + Directional Microphone [1]</t>
  </si>
  <si>
    <t xml:space="preserve">  + Geiger Counter [1]</t>
  </si>
  <si>
    <t xml:space="preserve">  + Laser Microphone (Rating 1) [2]</t>
  </si>
  <si>
    <t xml:space="preserve">  + Laser Microphone (Rating 2) [2]</t>
  </si>
  <si>
    <t xml:space="preserve">  + Laser Microphone (Rating 3) [2]</t>
  </si>
  <si>
    <t xml:space="preserve">  + Laser Microphone (Rating 4) [2]</t>
  </si>
  <si>
    <t xml:space="preserve">  + Laser Microphone (Rating 5) [2]</t>
  </si>
  <si>
    <t xml:space="preserve">  + Laser Microphone (Rating 6) [2]</t>
  </si>
  <si>
    <r>
      <t xml:space="preserve">  </t>
    </r>
    <r>
      <rPr>
        <sz val="8"/>
        <rFont val="Arial"/>
        <family val="2"/>
      </rPr>
      <t>+ Laser Rangefinder [1]</t>
    </r>
  </si>
  <si>
    <t xml:space="preserve">  + MAD Scanner (Rating 1) [1]</t>
  </si>
  <si>
    <t xml:space="preserve">  + MAD Scanner (Rating 2) [1]</t>
  </si>
  <si>
    <t xml:space="preserve">  + MAD Scanner (Rating 3) [1]</t>
  </si>
  <si>
    <t xml:space="preserve">  + Microphone [1]</t>
  </si>
  <si>
    <t xml:space="preserve">  + Motion Sensor [1]</t>
  </si>
  <si>
    <t xml:space="preserve">  + Olfactory Sensor (Rating 1) [1]</t>
  </si>
  <si>
    <t xml:space="preserve">  + Olfactory Sensor (Rating 2) [1]</t>
  </si>
  <si>
    <t xml:space="preserve">  + Olfactory Sensor (Rating 3) [1]</t>
  </si>
  <si>
    <t xml:space="preserve">  + Olfactory Sensor (Rating 4) [1]</t>
  </si>
  <si>
    <t xml:space="preserve">  + Olfactory Sensor (Rating 5) [1]</t>
  </si>
  <si>
    <t xml:space="preserve">  + Olfactory Sensor (Rating 6) [1]</t>
  </si>
  <si>
    <t xml:space="preserve">  + Radio Signal Scanner (Rating 1) [1]</t>
  </si>
  <si>
    <t xml:space="preserve">  + Radio Signal Scanner (Rating 2) [1]</t>
  </si>
  <si>
    <t xml:space="preserve">  + Radio Signal Scanner (Rating 3) [1]</t>
  </si>
  <si>
    <t xml:space="preserve">  + Radio Signal Scanner (Rating 4) [1]</t>
  </si>
  <si>
    <t xml:space="preserve">  + Radio Signal Scanner (Rating 5) [1]</t>
  </si>
  <si>
    <t xml:space="preserve">  + Radio Signal Scanner (Rating 6) [1]</t>
  </si>
  <si>
    <t>SECURITY DEVICES</t>
  </si>
  <si>
    <t>Key Lock (Rating 1)</t>
  </si>
  <si>
    <t>Key Lock (Rating 2)</t>
  </si>
  <si>
    <t>Key Lock (Rating 3)</t>
  </si>
  <si>
    <t>Key Lock (Rating 4)</t>
  </si>
  <si>
    <t>Key Lock (Rating 5)</t>
  </si>
  <si>
    <t>Key Lock (Rating 6)</t>
  </si>
  <si>
    <t>Maglock (Rating 1)</t>
  </si>
  <si>
    <t>Maglock (Rating 2)</t>
  </si>
  <si>
    <t>Maglock (Rating 3)</t>
  </si>
  <si>
    <t>Maglock (Rating 4)</t>
  </si>
  <si>
    <t>Maglock (Rating 5)</t>
  </si>
  <si>
    <t>Maglock (Rating 6)</t>
  </si>
  <si>
    <t xml:space="preserve">  + Keypad or Card Reader</t>
  </si>
  <si>
    <t xml:space="preserve">  + Anti-Tamper Circuits (Rating 1)</t>
  </si>
  <si>
    <t xml:space="preserve">  + Anti-Tamper Circuits (Rating 2)</t>
  </si>
  <si>
    <t xml:space="preserve">  + Anti-Tamper Circuits (Rating 3)</t>
  </si>
  <si>
    <t xml:space="preserve">  + Anti-Tamper Circuits (Rating 4)</t>
  </si>
  <si>
    <t xml:space="preserve">  + Biometric Reader</t>
  </si>
  <si>
    <t>RESTRAINTS</t>
  </si>
  <si>
    <t>Metal Restraints</t>
  </si>
  <si>
    <t>Plasteel Restraints</t>
  </si>
  <si>
    <t>10 Plastic Restraints</t>
  </si>
  <si>
    <t>Containment Manacles</t>
  </si>
  <si>
    <t>B&amp;E GEAR</t>
  </si>
  <si>
    <t>Autopicker (Rating 1)</t>
  </si>
  <si>
    <t>Autopicker (Rating 2)</t>
  </si>
  <si>
    <t>Autopicker (Rating 3)</t>
  </si>
  <si>
    <t>Autopicker (Rating 4)</t>
  </si>
  <si>
    <t>Autopicker (Rating 5)</t>
  </si>
  <si>
    <t>Autopicker (Rating 6)</t>
  </si>
  <si>
    <t>Cellular Glove (Rating 1)</t>
  </si>
  <si>
    <t>Cellular Glove (Rating 2)</t>
  </si>
  <si>
    <t>Cellular Glove (Rating 3)</t>
  </si>
  <si>
    <t>Chisel</t>
  </si>
  <si>
    <t>Keycard Copier (Rating 1)</t>
  </si>
  <si>
    <t>Keycard Copier (Rating 2)</t>
  </si>
  <si>
    <t>Keycard Copier (Rating 3)</t>
  </si>
  <si>
    <t>Keycard Copier (Rating 4)</t>
  </si>
  <si>
    <t>Keycard Copier (Rating 5)</t>
  </si>
  <si>
    <t>Keycard Copier (Rating 6)</t>
  </si>
  <si>
    <t>Lockpick Set</t>
  </si>
  <si>
    <t>Maglock Passkey (Rating 1)</t>
  </si>
  <si>
    <t>Maglock Passkey (Rating 2)</t>
  </si>
  <si>
    <t>Maglock Passkey (Rating 3)</t>
  </si>
  <si>
    <t>Maglock Passkey (Rating 4)</t>
  </si>
  <si>
    <t>Maglock Passkey (Rating 5)</t>
  </si>
  <si>
    <t>Maglock Passkey (Rating 6)</t>
  </si>
  <si>
    <t>Miniwelder</t>
  </si>
  <si>
    <t>Sequencer (Rating 1)</t>
  </si>
  <si>
    <t>Sequencer (Rating 2)</t>
  </si>
  <si>
    <t>Sequencer (Rating 3)</t>
  </si>
  <si>
    <t>Sequencer (Rating 4)</t>
  </si>
  <si>
    <t>Sequencer (Rating 5)</t>
  </si>
  <si>
    <t>Sequencer (Rating 6)</t>
  </si>
  <si>
    <t>Wire Clippers</t>
  </si>
  <si>
    <t>SURVIVAL GEAR</t>
  </si>
  <si>
    <t>Chemsuit (Rating 1)</t>
  </si>
  <si>
    <t>Chemsuit (Rating 2)</t>
  </si>
  <si>
    <t>Chemsuit (Rating 3)</t>
  </si>
  <si>
    <t>Chemsuit (Rating 4)</t>
  </si>
  <si>
    <t>Chemsuit (Rating 5)</t>
  </si>
  <si>
    <t>Chemsuit (Rating 6)</t>
  </si>
  <si>
    <t>Climbing Gear</t>
  </si>
  <si>
    <t>Diving Gear</t>
  </si>
  <si>
    <t>Gas Mask</t>
  </si>
  <si>
    <t>Gecko Tape Gloves</t>
  </si>
  <si>
    <t>GPS</t>
  </si>
  <si>
    <t>Hazmat Suit</t>
  </si>
  <si>
    <t>Flashlight</t>
  </si>
  <si>
    <t>Light Stick (per 5)</t>
  </si>
  <si>
    <t>Magnesium Torch (per 5)</t>
  </si>
  <si>
    <t>Micro Flares (per 4)</t>
  </si>
  <si>
    <t>Rappelling Gloves</t>
  </si>
  <si>
    <t>Respirator (Rating 1)</t>
  </si>
  <si>
    <t>Respirator (Rating 2)</t>
  </si>
  <si>
    <t>Respirator (Rating 3)</t>
  </si>
  <si>
    <t>Respirator (Rating 4)</t>
  </si>
  <si>
    <t>Respirator (Rating 5)</t>
  </si>
  <si>
    <t>Respirator (Rating 6)</t>
  </si>
  <si>
    <t>Survival Kit</t>
  </si>
  <si>
    <t>GRAPPLE GUN &amp; ACCESSORIES</t>
  </si>
  <si>
    <t>Catalyst Stick</t>
  </si>
  <si>
    <t>Microwire (100m)</t>
  </si>
  <si>
    <t>Myomeric Rope (10m)</t>
  </si>
  <si>
    <t>Standard Rope (100m)</t>
  </si>
  <si>
    <t>Stealth Rope (100m)</t>
  </si>
  <si>
    <t>UTILITY CHEMICALS</t>
  </si>
  <si>
    <t>Glue Sprayer</t>
  </si>
  <si>
    <t>Thermite Burning Bar</t>
  </si>
  <si>
    <t>16R</t>
  </si>
  <si>
    <t>5 x Thermite Burning Bar</t>
  </si>
  <si>
    <t>BIOTECH/MEDICAL</t>
  </si>
  <si>
    <t>Biomonitor</t>
  </si>
  <si>
    <t>Disposable Syringe (per 5)</t>
  </si>
  <si>
    <t>Medkit (Rating 1)</t>
  </si>
  <si>
    <t>Medkit (Rating 2)</t>
  </si>
  <si>
    <t>Medkit (Rating 3)</t>
  </si>
  <si>
    <t>Medkit (Rating 4)</t>
  </si>
  <si>
    <t>Medkit (Rating 5)</t>
  </si>
  <si>
    <t>Medkit (Rating 6)</t>
  </si>
  <si>
    <t>DocWagon Contract, Basic</t>
  </si>
  <si>
    <t>DocWagon Contract, Gold</t>
  </si>
  <si>
    <t>DocWagon Contract, Platinum</t>
  </si>
  <si>
    <t>DocWagon Contract, Super-Platinum</t>
  </si>
  <si>
    <t>SLAP PATCHES</t>
  </si>
  <si>
    <t>Antidote Patch (Rating 1)</t>
  </si>
  <si>
    <t>Antidote Patch (Rating 2)</t>
  </si>
  <si>
    <t>Antidote Patch (Rating 3)</t>
  </si>
  <si>
    <t>Antidote Patch (Rating 4)</t>
  </si>
  <si>
    <t>Antidote Patch (Rating 5)</t>
  </si>
  <si>
    <t>Antidote Patch (Rating 6)</t>
  </si>
  <si>
    <t>Stimulant Patch (Rating 1)</t>
  </si>
  <si>
    <t>Stimulant Patch (Rating 2)</t>
  </si>
  <si>
    <t>Stimulant Patch (Rating 3)</t>
  </si>
  <si>
    <t>Stimulant Patch (Rating 4)</t>
  </si>
  <si>
    <t>Stimulant Patch (Rating 5)</t>
  </si>
  <si>
    <t>Stimulant Patch (Rating 6)</t>
  </si>
  <si>
    <t>Tranq Patch (Rating 1)</t>
  </si>
  <si>
    <t>Tranq Patch (Rating 2)</t>
  </si>
  <si>
    <t>Tranq Patch (Rating 3)</t>
  </si>
  <si>
    <t>Tranq Patch (Rating 4)</t>
  </si>
  <si>
    <t>Tranq Patch (Rating 5)</t>
  </si>
  <si>
    <t>Tranq Patch (Rating 6)</t>
  </si>
  <si>
    <t>Tranq Patch (Rating 7)</t>
  </si>
  <si>
    <t>Tranq Patch (Rating 8)</t>
  </si>
  <si>
    <t>Tranq Patch (Rating 9)</t>
  </si>
  <si>
    <t>Tranq Patch (Rating 10)</t>
  </si>
  <si>
    <t>Trauma Patch</t>
  </si>
  <si>
    <t>5 x Trauma Patch</t>
  </si>
  <si>
    <t>DISGUISE</t>
  </si>
  <si>
    <t>Latex Face Mask</t>
  </si>
  <si>
    <t>Nanopaste Disguise, Small Container</t>
  </si>
  <si>
    <t>Nanopaste Disguise, Large Container</t>
  </si>
  <si>
    <t>AMMO GATHER</t>
  </si>
  <si>
    <t>GEAR GATHER</t>
  </si>
  <si>
    <t>ADEPTPOWER GATHER</t>
  </si>
  <si>
    <t>MiscSw</t>
  </si>
  <si>
    <t>Final Notes</t>
  </si>
  <si>
    <t>SPIRITGATHER</t>
  </si>
  <si>
    <t>SKILL GATHER</t>
  </si>
  <si>
    <t>Yeah</t>
  </si>
  <si>
    <t>KNOWLEDGE SKILL GATHER</t>
  </si>
  <si>
    <t>LANGUAGE SKILL GATHER</t>
  </si>
  <si>
    <t>QUALITIES GATHER</t>
  </si>
  <si>
    <t>CONTACT GATHER</t>
  </si>
  <si>
    <t>Conn</t>
  </si>
  <si>
    <t>Loya</t>
  </si>
  <si>
    <t>CYBERGRADES</t>
  </si>
  <si>
    <t>Alphaware</t>
  </si>
  <si>
    <t>Betaware</t>
  </si>
  <si>
    <t>Deltaware</t>
  </si>
  <si>
    <t>CYBTAKEN</t>
  </si>
  <si>
    <t>BIOTAKEN</t>
  </si>
  <si>
    <t>Total</t>
  </si>
  <si>
    <t>Cap</t>
  </si>
  <si>
    <t>ArmB</t>
  </si>
  <si>
    <t>Unarmed</t>
  </si>
  <si>
    <t>HEADWARE</t>
  </si>
  <si>
    <t>Commlink</t>
  </si>
  <si>
    <t>Control Rig</t>
  </si>
  <si>
    <t>Cranial Bomb, Kink Bomb</t>
  </si>
  <si>
    <t>Cranial Bomb, Microbomb</t>
  </si>
  <si>
    <t>Cranial Bomb, Area Bomb</t>
  </si>
  <si>
    <t>Datajack</t>
  </si>
  <si>
    <t>Data Lock</t>
  </si>
  <si>
    <t>Olfactory Booster I</t>
  </si>
  <si>
    <t>Olfactory Booster II</t>
  </si>
  <si>
    <t>Olfactory Booster III</t>
  </si>
  <si>
    <t>Olfactory Booster IV</t>
  </si>
  <si>
    <t>Olfactory Booster V</t>
  </si>
  <si>
    <t>Olfactory Booster VI</t>
  </si>
  <si>
    <t>Sim Module, Hot Sim Modified</t>
  </si>
  <si>
    <t>Tooth Storage Compartment</t>
  </si>
  <si>
    <t>Tooth Breakable Compartment</t>
  </si>
  <si>
    <t>Ultrasound Sensor</t>
  </si>
  <si>
    <t>Voice Modulator</t>
  </si>
  <si>
    <t xml:space="preserve">  + Secondary Pattern (Rating 1)</t>
  </si>
  <si>
    <t xml:space="preserve">  + Secondary Pattern (Rating 2)</t>
  </si>
  <si>
    <t xml:space="preserve">  + Secondary Pattern (Rating 3)</t>
  </si>
  <si>
    <t xml:space="preserve">  + Secondary Pattern (Rating 4)</t>
  </si>
  <si>
    <t xml:space="preserve">  + Secondary Pattern (Rating 5)</t>
  </si>
  <si>
    <t xml:space="preserve">  + Secondary Pattern (Rating 6)</t>
  </si>
  <si>
    <t>EYEWARE</t>
  </si>
  <si>
    <t>Cybereyes I - Capacity 4</t>
  </si>
  <si>
    <t>Cybereyes II - Capacity 8</t>
  </si>
  <si>
    <t>Cybereyes III - Capacity 12</t>
  </si>
  <si>
    <t>Cybereyes IV - Capacity 16</t>
  </si>
  <si>
    <t xml:space="preserve">  + Flare Compensation [1]</t>
  </si>
  <si>
    <t xml:space="preserve">  + Low-Light Vision [2]</t>
  </si>
  <si>
    <t xml:space="preserve">  + Ocular Drone [6]</t>
  </si>
  <si>
    <t xml:space="preserve">  + Protective Covers</t>
  </si>
  <si>
    <t xml:space="preserve">  + Retinal Duplication (Rating 1) [1]</t>
  </si>
  <si>
    <t xml:space="preserve">  + Retinal Duplication (Rating 2) [1]</t>
  </si>
  <si>
    <t xml:space="preserve">  + Retinal Duplication (Rating 3) [1]</t>
  </si>
  <si>
    <t xml:space="preserve">  + Retinal Duplication (Rating 4) [1]</t>
  </si>
  <si>
    <t xml:space="preserve">  + Retinal Duplication (Rating 5) [1]</t>
  </si>
  <si>
    <t xml:space="preserve">  + Retinal Duplication (Rating 6) [1]</t>
  </si>
  <si>
    <r>
      <t xml:space="preserve">  </t>
    </r>
    <r>
      <rPr>
        <sz val="8"/>
        <rFont val="Arial"/>
        <family val="2"/>
      </rPr>
      <t>+ Smartlink [3]</t>
    </r>
  </si>
  <si>
    <r>
      <t xml:space="preserve">  </t>
    </r>
    <r>
      <rPr>
        <sz val="8"/>
        <rFont val="Arial"/>
        <family val="2"/>
      </rPr>
      <t>+ Thermographic Vision [2]</t>
    </r>
  </si>
  <si>
    <t xml:space="preserve">  + Vision Enhancement I [1]</t>
  </si>
  <si>
    <t xml:space="preserve">  + Vision Enhancement II [2]</t>
  </si>
  <si>
    <t xml:space="preserve">  + Vision Enhancement III [3]</t>
  </si>
  <si>
    <t xml:space="preserve">  + Vision Magnification [2]</t>
  </si>
  <si>
    <t>Eye Recording Unit</t>
  </si>
  <si>
    <t>Flare Compensation</t>
  </si>
  <si>
    <t>Image Link</t>
  </si>
  <si>
    <t>Low-Light Vision</t>
  </si>
  <si>
    <t>Ocular Drone</t>
  </si>
  <si>
    <t>Protective Covers</t>
  </si>
  <si>
    <t>Retinal Duplication (Rating 1)</t>
  </si>
  <si>
    <t>Retinal Duplication (Rating 2)</t>
  </si>
  <si>
    <t>Retinal Duplication (Rating 3)</t>
  </si>
  <si>
    <t>Retinal Duplication (Rating 4)</t>
  </si>
  <si>
    <t>Retinal Duplication (Rating 5)</t>
  </si>
  <si>
    <t>Retinal Duplication (Rating 6)</t>
  </si>
  <si>
    <t>Smartlink</t>
  </si>
  <si>
    <t>Thermographic Vision</t>
  </si>
  <si>
    <t>Vision Enhancement I</t>
  </si>
  <si>
    <t>Vision Enhancement II</t>
  </si>
  <si>
    <t>Vision Enhancement III</t>
  </si>
  <si>
    <t>Vision Magnification</t>
  </si>
  <si>
    <t>EARWARE</t>
  </si>
  <si>
    <t>Cyberears I - Capacity 4</t>
  </si>
  <si>
    <t>Cyberears II - Capacity 8</t>
  </si>
  <si>
    <t>Cyberears III - Capacity 12</t>
  </si>
  <si>
    <t>Cyberears IV - Capacity 16</t>
  </si>
  <si>
    <t xml:space="preserve">  + Audio Enhancement I [1]</t>
  </si>
  <si>
    <t xml:space="preserve">  + Audio Enhancement II [2]</t>
  </si>
  <si>
    <t xml:space="preserve">  + Audio Enhancement III [3]</t>
  </si>
  <si>
    <t xml:space="preserve">  + Balance Augmenter [4]</t>
  </si>
  <si>
    <t xml:space="preserve">  + Damper [1]</t>
  </si>
  <si>
    <t xml:space="preserve">  + Select Sound Filter I [1]</t>
  </si>
  <si>
    <t xml:space="preserve">  + Select Sound Filter II [2]</t>
  </si>
  <si>
    <t xml:space="preserve">  + Select Sound Filter III [3]</t>
  </si>
  <si>
    <t xml:space="preserve">  + Select Sound Filter IV [4]</t>
  </si>
  <si>
    <t xml:space="preserve">  + Select Sound Filter V [5]</t>
  </si>
  <si>
    <t xml:space="preserve">  + Select Sound Filter VI [6]</t>
  </si>
  <si>
    <t xml:space="preserve">  + Spatial Recognizer [2]</t>
  </si>
  <si>
    <t>Audio Enhancement I</t>
  </si>
  <si>
    <t>Audio Enhancement II</t>
  </si>
  <si>
    <t>Audio Enhancement III</t>
  </si>
  <si>
    <t>Balance Augmenter</t>
  </si>
  <si>
    <t>Damper</t>
  </si>
  <si>
    <t>Select Sound Filter I</t>
  </si>
  <si>
    <t>Select Sound Filter II</t>
  </si>
  <si>
    <t>Select Sound Filter III</t>
  </si>
  <si>
    <t>Select Sound Filter IV</t>
  </si>
  <si>
    <t>Select Sound Filter V</t>
  </si>
  <si>
    <t>Select Sound Filter VI</t>
  </si>
  <si>
    <t>Spatial Recognizer</t>
  </si>
  <si>
    <t>BODYWARE</t>
  </si>
  <si>
    <t>Bone Lacing, Plastic</t>
  </si>
  <si>
    <t>Bone Lacing, Aluminum</t>
  </si>
  <si>
    <t>Dermal Plating I</t>
  </si>
  <si>
    <t>Dermal Plating II</t>
  </si>
  <si>
    <t>Dermal Plating III</t>
  </si>
  <si>
    <t>15R</t>
  </si>
  <si>
    <t>Fingertip Compartment</t>
  </si>
  <si>
    <t>Internal Air Tank</t>
  </si>
  <si>
    <t>Muscle Replacement I</t>
  </si>
  <si>
    <t>Muscle Replacement II</t>
  </si>
  <si>
    <t>Muscle Replacement III</t>
  </si>
  <si>
    <t>Muscle Replacement IV</t>
  </si>
  <si>
    <t>20R</t>
  </si>
  <si>
    <t>Reaction Enhancers I</t>
  </si>
  <si>
    <t>Reaction Enhancers II</t>
  </si>
  <si>
    <t>Reaction Enhancers III</t>
  </si>
  <si>
    <t>Skillwires I</t>
  </si>
  <si>
    <t>Skillwires II</t>
  </si>
  <si>
    <t>Skillwires III</t>
  </si>
  <si>
    <t>Skillwires IV</t>
  </si>
  <si>
    <t>Smuggling Compartment</t>
  </si>
  <si>
    <t>Touch Link</t>
  </si>
  <si>
    <t>Wired Reflexes I</t>
  </si>
  <si>
    <t>Wired Reflexes II</t>
  </si>
  <si>
    <t>Wired Reflexes III</t>
  </si>
  <si>
    <t>CYBERLIMBS</t>
  </si>
  <si>
    <t>Full Arm, Obvious - Capacity 15</t>
  </si>
  <si>
    <t>Full Leg, Obvious - Capacity 20</t>
  </si>
  <si>
    <t>Hand/Foot, Obvious - Capacity 4</t>
  </si>
  <si>
    <t>Lower Arm, Obvious - Capacity 10</t>
  </si>
  <si>
    <t>Lower Leg, Obvious - Capacity 12</t>
  </si>
  <si>
    <t>Torso, Obvious - Capacity 10</t>
  </si>
  <si>
    <t>Skull, Obvious - Capacity 4</t>
  </si>
  <si>
    <t>Full Arm, Synthetic - Capacity 8</t>
  </si>
  <si>
    <t>Full Leg, Synthetic - Capacity 10</t>
  </si>
  <si>
    <t>Hand/Foot, Synthetic - Capacity 2</t>
  </si>
  <si>
    <t>Lower Arm, Synthetic - Capacity 5</t>
  </si>
  <si>
    <t>Lower Leg, Synthetic - Capacity 6</t>
  </si>
  <si>
    <t>Torso, Synthetic - Capacity 5</t>
  </si>
  <si>
    <t>Skull, Synthetic - Capacity 2</t>
  </si>
  <si>
    <t xml:space="preserve">  + Armor +1 [2]</t>
  </si>
  <si>
    <t xml:space="preserve">  + Armor +2 [4]</t>
  </si>
  <si>
    <t xml:space="preserve">  + Armor +3 [6]</t>
  </si>
  <si>
    <t xml:space="preserve">  + Armor +4 [8]</t>
  </si>
  <si>
    <t xml:space="preserve">  + Body +1 [1]</t>
  </si>
  <si>
    <t xml:space="preserve">  + Body +2 [2]</t>
  </si>
  <si>
    <t xml:space="preserve">  + Body +3 [3]</t>
  </si>
  <si>
    <t>9R</t>
  </si>
  <si>
    <t xml:space="preserve">  + Body +4 [4]</t>
  </si>
  <si>
    <t xml:space="preserve">  + Body +5 [5]</t>
  </si>
  <si>
    <t xml:space="preserve">  + Body +6 [6]</t>
  </si>
  <si>
    <t>18R</t>
  </si>
  <si>
    <t xml:space="preserve">  + Body +7 [7]</t>
  </si>
  <si>
    <t>21R</t>
  </si>
  <si>
    <t xml:space="preserve">  + Strength +1 [1]</t>
  </si>
  <si>
    <t xml:space="preserve">  + Strength +2 [2]</t>
  </si>
  <si>
    <t xml:space="preserve">  + Strength +3 [3]</t>
  </si>
  <si>
    <t xml:space="preserve">  + Strength +4 [4]</t>
  </si>
  <si>
    <t xml:space="preserve">  + Strength +5 [5]</t>
  </si>
  <si>
    <t xml:space="preserve">  + Strength +6 [6]</t>
  </si>
  <si>
    <t xml:space="preserve">  + Strength +7 [7]</t>
  </si>
  <si>
    <t xml:space="preserve">  + Agility +1 [1]</t>
  </si>
  <si>
    <t xml:space="preserve">  + Agility +2 [2]</t>
  </si>
  <si>
    <t xml:space="preserve">  + Agility +3 [3]</t>
  </si>
  <si>
    <t xml:space="preserve">  + Agility +4 [4]</t>
  </si>
  <si>
    <t xml:space="preserve">  + Agility +5 [5]</t>
  </si>
  <si>
    <t xml:space="preserve">  + Agility +6 [6]</t>
  </si>
  <si>
    <t xml:space="preserve">  + Agility +7 [7]</t>
  </si>
  <si>
    <r>
      <t xml:space="preserve">  </t>
    </r>
    <r>
      <rPr>
        <sz val="8"/>
        <rFont val="Arial"/>
        <family val="2"/>
      </rPr>
      <t>+ Cyberarm Gyromount [4]</t>
    </r>
  </si>
  <si>
    <r>
      <t xml:space="preserve">  </t>
    </r>
    <r>
      <rPr>
        <sz val="8"/>
        <rFont val="Arial"/>
        <family val="2"/>
      </rPr>
      <t>+ Cyberarm Slide [8]</t>
    </r>
  </si>
  <si>
    <r>
      <t xml:space="preserve">  </t>
    </r>
    <r>
      <rPr>
        <sz val="8"/>
        <rFont val="Arial"/>
        <family val="2"/>
      </rPr>
      <t>+ Cyber Holster [7]</t>
    </r>
  </si>
  <si>
    <t xml:space="preserve">  + Hydraulic Jacks I [1]</t>
  </si>
  <si>
    <t xml:space="preserve">  + Hydraulic Jacks II [2]</t>
  </si>
  <si>
    <t xml:space="preserve">  + Hydraulic Jacks III [3]</t>
  </si>
  <si>
    <t xml:space="preserve">  + Hydraulic Jacks IV [4]</t>
  </si>
  <si>
    <t xml:space="preserve">  + Hydraulic Jacks V [5]</t>
  </si>
  <si>
    <t xml:space="preserve">  + Hydraulic Jacks VI [6]</t>
  </si>
  <si>
    <t xml:space="preserve">  + Large Smuggling Compartment [5]</t>
  </si>
  <si>
    <t>CYBERWEAPONS (CYBERLIMB)</t>
  </si>
  <si>
    <t xml:space="preserve">  + Holdout Pistol [2]</t>
  </si>
  <si>
    <t xml:space="preserve">  + Light Pistol [4]</t>
  </si>
  <si>
    <t xml:space="preserve">  + Machine Pistol [4]</t>
  </si>
  <si>
    <t xml:space="preserve">  + Heavy Pistol [6]</t>
  </si>
  <si>
    <t xml:space="preserve">  + Submachine Gun [10]</t>
  </si>
  <si>
    <t xml:space="preserve">  + Shotgun [11]</t>
  </si>
  <si>
    <t xml:space="preserve">  + Grenade Launcher [15]</t>
  </si>
  <si>
    <t xml:space="preserve">  + External Clip Port [1]</t>
  </si>
  <si>
    <t xml:space="preserve">  + Laser Sight [1]</t>
  </si>
  <si>
    <t xml:space="preserve">  + Silencer [2]</t>
  </si>
  <si>
    <t xml:space="preserve">  + Sound Suppressor [3]</t>
  </si>
  <si>
    <r>
      <t xml:space="preserve">  </t>
    </r>
    <r>
      <rPr>
        <sz val="8"/>
        <rFont val="Arial"/>
        <family val="2"/>
      </rPr>
      <t>+ Handblade (Retractable) [3]</t>
    </r>
  </si>
  <si>
    <t xml:space="preserve">  + Hand Razors (Retractable) [2]</t>
  </si>
  <si>
    <t xml:space="preserve">  + Spurs (Retractable) [3]</t>
  </si>
  <si>
    <t xml:space="preserve">  + Shock Hand [3]</t>
  </si>
  <si>
    <t>CYBERWEAPONS (IMPLANTED)</t>
  </si>
  <si>
    <t>Holdout Pistol</t>
  </si>
  <si>
    <t>Submachine Gun</t>
  </si>
  <si>
    <t>Grenade Launcher</t>
  </si>
  <si>
    <t>External Clip Port</t>
  </si>
  <si>
    <t>Handblade (Retractable)</t>
  </si>
  <si>
    <t>Hand Razors (Retractable)</t>
  </si>
  <si>
    <t>Spurs (Retractable)</t>
  </si>
  <si>
    <t>MISC. HOUSABLE CYBERWARE</t>
  </si>
  <si>
    <r>
      <t xml:space="preserve">  </t>
    </r>
    <r>
      <rPr>
        <sz val="8"/>
        <rFont val="Arial"/>
        <family val="2"/>
      </rPr>
      <t>+ Commlink [2]</t>
    </r>
  </si>
  <si>
    <t xml:space="preserve">  + Cranial Bomb, Kink Bomb [1]</t>
  </si>
  <si>
    <r>
      <t xml:space="preserve">  </t>
    </r>
    <r>
      <rPr>
        <sz val="8"/>
        <rFont val="Arial"/>
        <family val="2"/>
      </rPr>
      <t>+ Cranial Bomb, Microbomb [2]</t>
    </r>
  </si>
  <si>
    <t xml:space="preserve">  + Cranial Bomb, Area Bomb [3]</t>
  </si>
  <si>
    <r>
      <t xml:space="preserve">  </t>
    </r>
    <r>
      <rPr>
        <sz val="8"/>
        <rFont val="Arial"/>
        <family val="2"/>
      </rPr>
      <t>+ Datajack [1]</t>
    </r>
  </si>
  <si>
    <t xml:space="preserve">  + Data Lock [1]</t>
  </si>
  <si>
    <t xml:space="preserve">  + Olfactory Booster I [2]</t>
  </si>
  <si>
    <t xml:space="preserve">  + Olfactory Booster II [2]</t>
  </si>
  <si>
    <t xml:space="preserve">  + Olfactory Booster III [2]</t>
  </si>
  <si>
    <t xml:space="preserve">  + Olfactory Booster IV [2]</t>
  </si>
  <si>
    <t xml:space="preserve">  + Olfactory Booster V [2]</t>
  </si>
  <si>
    <t xml:space="preserve">  + Olfactory Booster VI [2]</t>
  </si>
  <si>
    <t xml:space="preserve">  + Sim Module [2]</t>
  </si>
  <si>
    <t xml:space="preserve">  + Sim Module, Hot Sim Modified [2]</t>
  </si>
  <si>
    <t xml:space="preserve">  + Ultrasound Sensor [2]</t>
  </si>
  <si>
    <t xml:space="preserve">  + Fingertip Compartment [1]</t>
  </si>
  <si>
    <t xml:space="preserve">  + Grapple Gun [5]</t>
  </si>
  <si>
    <t xml:space="preserve">  + Internal Air Tank [3]</t>
  </si>
  <si>
    <t xml:space="preserve">  + Smuggling Compartment [2]</t>
  </si>
  <si>
    <t>BASIC BIOWARE</t>
  </si>
  <si>
    <t>Adrenaline Pump I</t>
  </si>
  <si>
    <t>Adrenaline Pump II</t>
  </si>
  <si>
    <t>Adrenaline Pump III</t>
  </si>
  <si>
    <t>Bone Density Augmentation I</t>
  </si>
  <si>
    <t>Bone Density Augmentation II</t>
  </si>
  <si>
    <t>Bone Density Augmentation III</t>
  </si>
  <si>
    <t>Bone Density Augmentation IV</t>
  </si>
  <si>
    <t>Cat's Eyes</t>
  </si>
  <si>
    <t>Digestive Expansion</t>
  </si>
  <si>
    <t>Enhanced Articulation</t>
  </si>
  <si>
    <t>Muscle Augmentation I</t>
  </si>
  <si>
    <t>Muscle Augmentation II</t>
  </si>
  <si>
    <t>Muscle Augmentation III</t>
  </si>
  <si>
    <t>Muscle Toner I</t>
  </si>
  <si>
    <t>Muscle Toner II</t>
  </si>
  <si>
    <t>Muscle Toner III</t>
  </si>
  <si>
    <t>Orthoskin I</t>
  </si>
  <si>
    <t>Orthoskin II</t>
  </si>
  <si>
    <t>Orthoskin III</t>
  </si>
  <si>
    <t>Pathogenic Defense I</t>
  </si>
  <si>
    <t>Pathogenic Defense II</t>
  </si>
  <si>
    <t>Pathogenic Defense III</t>
  </si>
  <si>
    <t>Pathogenic Defense IV</t>
  </si>
  <si>
    <t>Pathogenic Defense V</t>
  </si>
  <si>
    <t>Pathogenic Defense VI</t>
  </si>
  <si>
    <t>Platelet Factories</t>
  </si>
  <si>
    <t>Skin Pocket</t>
  </si>
  <si>
    <t>Symbiotes I</t>
  </si>
  <si>
    <t>Symbiotes II</t>
  </si>
  <si>
    <t>Symbiotes III</t>
  </si>
  <si>
    <t>Synthcardium I</t>
  </si>
  <si>
    <t>Synthcardium II</t>
  </si>
  <si>
    <t>Synthcardium III</t>
  </si>
  <si>
    <t>Tailored Pheromones I</t>
  </si>
  <si>
    <t>Tailored Pheromones II</t>
  </si>
  <si>
    <t>Tailored Pheromones III</t>
  </si>
  <si>
    <t>Toxin Extractor I</t>
  </si>
  <si>
    <t>Toxin Extractor II</t>
  </si>
  <si>
    <t>Toxin Extractor III</t>
  </si>
  <si>
    <t>Toxin Extractor IV</t>
  </si>
  <si>
    <t>Toxin Extractor V</t>
  </si>
  <si>
    <t>Toxin Extractor VI</t>
  </si>
  <si>
    <t>Tracheal Filter I</t>
  </si>
  <si>
    <t>Tracheal Filter II</t>
  </si>
  <si>
    <t>Tracheal Filter III</t>
  </si>
  <si>
    <t>Tracheal Filter IV</t>
  </si>
  <si>
    <t>Tracheal Filter V</t>
  </si>
  <si>
    <t>Tracheal Filter VI</t>
  </si>
  <si>
    <t>CULTURED BIOWARE</t>
  </si>
  <si>
    <t>Cerebral Booster I</t>
  </si>
  <si>
    <t>Cerebral Booster II</t>
  </si>
  <si>
    <t>Damage Compensators I</t>
  </si>
  <si>
    <t>Damage Compensators II</t>
  </si>
  <si>
    <t>Damage Compensators III</t>
  </si>
  <si>
    <t>Damage Compensators IV</t>
  </si>
  <si>
    <t>Damage Compensators V</t>
  </si>
  <si>
    <t>Damage Compensators VI</t>
  </si>
  <si>
    <t>Damage Compensators VII</t>
  </si>
  <si>
    <t>Damage Compensators VIII</t>
  </si>
  <si>
    <t>Damage Compensators IX</t>
  </si>
  <si>
    <t>Damage Compensators X</t>
  </si>
  <si>
    <t>Damage Compensators XI</t>
  </si>
  <si>
    <t>33F</t>
  </si>
  <si>
    <t>Damage Compensators XII</t>
  </si>
  <si>
    <t>36F</t>
  </si>
  <si>
    <t>Mnemonic Enhancer I</t>
  </si>
  <si>
    <t>Mnemonic Enhancer II</t>
  </si>
  <si>
    <t>Mnemonic Enhancer III</t>
  </si>
  <si>
    <t>Pain Editor</t>
  </si>
  <si>
    <t>Reflex Recorder, Skill Group</t>
  </si>
  <si>
    <t>Reflex Recorder, Skill</t>
  </si>
  <si>
    <t>Sleep Regulator</t>
  </si>
  <si>
    <t>Synaptic Booster I</t>
  </si>
  <si>
    <t>Synaptic Booster II</t>
  </si>
  <si>
    <t>COMMLINKS</t>
  </si>
  <si>
    <t>CMT Chip</t>
  </si>
  <si>
    <t>Sony Emperor</t>
  </si>
  <si>
    <t>Renraku Sensei</t>
  </si>
  <si>
    <t>Novatech Airwave</t>
  </si>
  <si>
    <t>Erika Elite</t>
  </si>
  <si>
    <t>Hermes Ikon</t>
  </si>
  <si>
    <t>Transys Avalon</t>
  </si>
  <si>
    <t>Fairlight Caliban</t>
  </si>
  <si>
    <t>Redcap Nix</t>
  </si>
  <si>
    <t>Renraku Ichi</t>
  </si>
  <si>
    <t>Mangadyne Deva</t>
  </si>
  <si>
    <t>Iris Orb</t>
  </si>
  <si>
    <t>Novatech Navi</t>
  </si>
  <si>
    <t>Matrix Init, Cold</t>
  </si>
  <si>
    <t>Matrix Init, Hot</t>
  </si>
  <si>
    <t>Matrix Defense Dicepool</t>
  </si>
  <si>
    <t>Matrix Condition</t>
  </si>
  <si>
    <t>NAME/ALIAS:</t>
  </si>
  <si>
    <t>RACE:</t>
  </si>
  <si>
    <t>CONCEPT:</t>
  </si>
  <si>
    <t>TOTAL BP:</t>
  </si>
  <si>
    <t>DAMAGE RESISTANCE</t>
  </si>
  <si>
    <t>Body:</t>
  </si>
  <si>
    <t>Charisma:</t>
  </si>
  <si>
    <t>EDGE:</t>
  </si>
  <si>
    <t>Ballistic:</t>
  </si>
  <si>
    <t>Agility:</t>
  </si>
  <si>
    <t>Intuition:</t>
  </si>
  <si>
    <t>INITIATIVE:</t>
  </si>
  <si>
    <t>Impact:</t>
  </si>
  <si>
    <t>Reaction:</t>
  </si>
  <si>
    <t>Logic:</t>
  </si>
  <si>
    <t>Misc:</t>
  </si>
  <si>
    <t>Strength:</t>
  </si>
  <si>
    <t>Willpower:</t>
  </si>
  <si>
    <t>Armor:</t>
  </si>
  <si>
    <t>CONDITION MONITOR</t>
  </si>
  <si>
    <t>Stun</t>
  </si>
  <si>
    <t>EDGE</t>
  </si>
  <si>
    <t>DAMAGE OVERFLOW</t>
  </si>
  <si>
    <t>OS Type</t>
  </si>
  <si>
    <t>CYBER/BIOWARE</t>
  </si>
  <si>
    <t>Name</t>
  </si>
  <si>
    <t>PROJECTILE WEAPONS / GUNS</t>
  </si>
  <si>
    <t>Rcomp</t>
  </si>
  <si>
    <t>S (0)</t>
  </si>
  <si>
    <t>M (-1)</t>
  </si>
  <si>
    <t>L (-2)</t>
  </si>
  <si>
    <t>Ext (-3)</t>
  </si>
  <si>
    <t>Spellcasting Dicepool:</t>
  </si>
  <si>
    <t>Counterspell Dicepool:</t>
  </si>
  <si>
    <t>Ritual Spellcasting Dicepool:</t>
  </si>
  <si>
    <t>Drain Resistance:</t>
  </si>
  <si>
    <t>Astral Initiative:</t>
  </si>
  <si>
    <t>Astral Initiative Passes:</t>
  </si>
  <si>
    <t>Drain</t>
  </si>
  <si>
    <t>Linked Attribute/Skill</t>
  </si>
  <si>
    <t>Favors Owned</t>
  </si>
  <si>
    <t>Bound?</t>
  </si>
  <si>
    <t>OS TYPE</t>
  </si>
  <si>
    <t>AR Initiative:</t>
  </si>
  <si>
    <t>Damage Resistance (Black IC/Dumpshock):</t>
  </si>
  <si>
    <t>MATRIX CONDITION</t>
  </si>
  <si>
    <t>Hacking Pool:</t>
  </si>
  <si>
    <t>Attack Pool:</t>
  </si>
  <si>
    <t>Black Hammer Pool:</t>
  </si>
  <si>
    <t>Blackout Pool:</t>
  </si>
  <si>
    <t>Attacker AGI</t>
  </si>
  <si>
    <t>Defender Reaction</t>
  </si>
  <si>
    <t>Attacker Skill</t>
  </si>
  <si>
    <t>Misc. Mod.</t>
  </si>
  <si>
    <t>Net Success</t>
  </si>
  <si>
    <t>Weapon DV</t>
  </si>
  <si>
    <t>Defender Body</t>
  </si>
  <si>
    <t>Defender Armor</t>
  </si>
  <si>
    <t>Total Damage</t>
  </si>
  <si>
    <t>DICE ROLLER</t>
  </si>
  <si>
    <t>Successes</t>
  </si>
  <si>
    <t># of dice rolled</t>
  </si>
  <si>
    <t>Spell</t>
  </si>
  <si>
    <t>Glitch</t>
  </si>
  <si>
    <t>Drain DV: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</si>
</sst>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_ ;[RED]\-0\ "/>
    <numFmt numFmtId="166" formatCode="\+#;\-#;#"/>
    <numFmt numFmtId="167" formatCode="#,###"/>
    <numFmt numFmtId="168" formatCode="#,##0_ ;[RED]\-#,##0\ "/>
    <numFmt numFmtId="169" formatCode="#,##0"/>
    <numFmt numFmtId="170" formatCode="#,##0&quot;¥ &quot;_€;[RED]\-#,##0&quot;¥ &quot;_€"/>
    <numFmt numFmtId="171" formatCode="@"/>
    <numFmt numFmtId="172" formatCode="0.00;#;#"/>
    <numFmt numFmtId="173" formatCode="0.0"/>
    <numFmt numFmtId="174" formatCode="0.00_ ;[RED]\-0.00\ "/>
    <numFmt numFmtId="175" formatCode="0.00"/>
  </numFmts>
  <fonts count="26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8"/>
      <color indexed="9"/>
      <name val="Arial"/>
      <family val="2"/>
    </font>
    <font>
      <b/>
      <sz val="30"/>
      <name val="Arial"/>
      <family val="2"/>
    </font>
    <font>
      <b/>
      <i/>
      <sz val="8"/>
      <name val="Arial"/>
      <family val="2"/>
    </font>
    <font>
      <b/>
      <sz val="24"/>
      <name val="Arial"/>
      <family val="2"/>
    </font>
    <font>
      <sz val="12"/>
      <name val="Palatino Linotype"/>
      <family val="1"/>
    </font>
    <font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26"/>
      <name val="Arial"/>
      <family val="2"/>
    </font>
    <font>
      <sz val="7"/>
      <name val="Arial"/>
      <family val="2"/>
    </font>
    <font>
      <sz val="8"/>
      <name val="Arial Unicode MS"/>
      <family val="0"/>
    </font>
    <font>
      <sz val="8"/>
      <name val="Palatino Linotype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22"/>
      <name val="Arial"/>
      <family val="2"/>
    </font>
    <font>
      <b/>
      <i/>
      <sz val="8"/>
      <color indexed="9"/>
      <name val="Arial"/>
      <family val="2"/>
    </font>
    <font>
      <b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right" vertical="center"/>
    </xf>
    <xf numFmtId="164" fontId="2" fillId="2" borderId="1" xfId="0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4" fontId="4" fillId="0" borderId="0" xfId="0" applyFont="1" applyAlignment="1">
      <alignment horizontal="right"/>
    </xf>
    <xf numFmtId="164" fontId="5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4" fontId="1" fillId="2" borderId="1" xfId="0" applyFont="1" applyFill="1" applyBorder="1" applyAlignment="1">
      <alignment horizontal="center"/>
    </xf>
    <xf numFmtId="164" fontId="6" fillId="3" borderId="2" xfId="0" applyFont="1" applyFill="1" applyBorder="1" applyAlignment="1">
      <alignment horizontal="center"/>
    </xf>
    <xf numFmtId="164" fontId="3" fillId="0" borderId="0" xfId="0" applyFont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8" fillId="0" borderId="0" xfId="0" applyFont="1" applyAlignment="1">
      <alignment horizontal="right"/>
    </xf>
    <xf numFmtId="164" fontId="1" fillId="0" borderId="0" xfId="0" applyFont="1" applyAlignment="1">
      <alignment horizontal="right" vertical="center"/>
    </xf>
    <xf numFmtId="164" fontId="1" fillId="2" borderId="1" xfId="0" applyFont="1" applyFill="1" applyBorder="1" applyAlignment="1">
      <alignment horizontal="center" vertical="center"/>
    </xf>
    <xf numFmtId="164" fontId="9" fillId="0" borderId="0" xfId="0" applyFont="1" applyAlignment="1">
      <alignment horizontal="center"/>
    </xf>
    <xf numFmtId="164" fontId="3" fillId="0" borderId="0" xfId="0" applyFont="1" applyAlignment="1">
      <alignment horizontal="right" vertical="center"/>
    </xf>
    <xf numFmtId="164" fontId="3" fillId="0" borderId="0" xfId="0" applyFont="1" applyAlignment="1">
      <alignment horizontal="right"/>
    </xf>
    <xf numFmtId="166" fontId="1" fillId="2" borderId="1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right"/>
    </xf>
    <xf numFmtId="164" fontId="1" fillId="0" borderId="0" xfId="0" applyFont="1" applyFill="1" applyBorder="1" applyAlignment="1">
      <alignment horizontal="left"/>
    </xf>
    <xf numFmtId="164" fontId="1" fillId="0" borderId="0" xfId="0" applyFont="1" applyAlignment="1">
      <alignment horizontal="left"/>
    </xf>
    <xf numFmtId="164" fontId="3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164" fontId="1" fillId="4" borderId="1" xfId="0" applyFont="1" applyFill="1" applyBorder="1" applyAlignment="1">
      <alignment horizontal="right"/>
    </xf>
    <xf numFmtId="164" fontId="3" fillId="4" borderId="1" xfId="0" applyFont="1" applyFill="1" applyBorder="1" applyAlignment="1">
      <alignment horizontal="center"/>
    </xf>
    <xf numFmtId="164" fontId="3" fillId="0" borderId="0" xfId="0" applyFont="1" applyAlignment="1">
      <alignment horizontal="left"/>
    </xf>
    <xf numFmtId="164" fontId="6" fillId="3" borderId="4" xfId="0" applyFont="1" applyFill="1" applyBorder="1" applyAlignment="1">
      <alignment horizontal="right"/>
    </xf>
    <xf numFmtId="164" fontId="11" fillId="3" borderId="5" xfId="0" applyFont="1" applyFill="1" applyBorder="1" applyAlignment="1">
      <alignment horizontal="center"/>
    </xf>
    <xf numFmtId="164" fontId="6" fillId="3" borderId="5" xfId="0" applyFont="1" applyFill="1" applyBorder="1" applyAlignment="1">
      <alignment/>
    </xf>
    <xf numFmtId="164" fontId="11" fillId="3" borderId="5" xfId="0" applyFont="1" applyFill="1" applyBorder="1" applyAlignment="1">
      <alignment/>
    </xf>
    <xf numFmtId="164" fontId="6" fillId="3" borderId="5" xfId="0" applyFont="1" applyFill="1" applyBorder="1" applyAlignment="1">
      <alignment horizontal="center"/>
    </xf>
    <xf numFmtId="164" fontId="6" fillId="3" borderId="6" xfId="0" applyFont="1" applyFill="1" applyBorder="1" applyAlignment="1">
      <alignment horizontal="center"/>
    </xf>
    <xf numFmtId="164" fontId="1" fillId="0" borderId="7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7" fontId="1" fillId="0" borderId="8" xfId="0" applyNumberFormat="1" applyFont="1" applyBorder="1" applyAlignment="1">
      <alignment horizontal="center"/>
    </xf>
    <xf numFmtId="164" fontId="1" fillId="0" borderId="9" xfId="0" applyFont="1" applyBorder="1" applyAlignment="1">
      <alignment horizontal="right"/>
    </xf>
    <xf numFmtId="164" fontId="1" fillId="2" borderId="10" xfId="0" applyFont="1" applyFill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1" fillId="0" borderId="11" xfId="0" applyFont="1" applyBorder="1" applyAlignment="1">
      <alignment/>
    </xf>
    <xf numFmtId="167" fontId="1" fillId="0" borderId="12" xfId="0" applyNumberFormat="1" applyFont="1" applyBorder="1" applyAlignment="1">
      <alignment horizontal="center"/>
    </xf>
    <xf numFmtId="167" fontId="1" fillId="4" borderId="1" xfId="0" applyNumberFormat="1" applyFont="1" applyFill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4" fontId="1" fillId="2" borderId="13" xfId="0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/>
    </xf>
    <xf numFmtId="164" fontId="1" fillId="4" borderId="14" xfId="0" applyFont="1" applyFill="1" applyBorder="1" applyAlignment="1">
      <alignment/>
    </xf>
    <xf numFmtId="164" fontId="12" fillId="3" borderId="0" xfId="0" applyFont="1" applyFill="1" applyAlignment="1">
      <alignment horizontal="left"/>
    </xf>
    <xf numFmtId="168" fontId="11" fillId="3" borderId="0" xfId="0" applyNumberFormat="1" applyFont="1" applyFill="1" applyAlignment="1">
      <alignment horizontal="center"/>
    </xf>
    <xf numFmtId="167" fontId="11" fillId="3" borderId="0" xfId="0" applyNumberFormat="1" applyFont="1" applyFill="1" applyBorder="1" applyAlignment="1">
      <alignment horizontal="center"/>
    </xf>
    <xf numFmtId="164" fontId="11" fillId="3" borderId="0" xfId="0" applyFont="1" applyFill="1" applyAlignment="1">
      <alignment/>
    </xf>
    <xf numFmtId="164" fontId="3" fillId="0" borderId="0" xfId="0" applyFont="1" applyBorder="1" applyAlignment="1">
      <alignment horizontal="center"/>
    </xf>
    <xf numFmtId="169" fontId="1" fillId="0" borderId="0" xfId="0" applyNumberFormat="1" applyFont="1" applyAlignment="1">
      <alignment/>
    </xf>
    <xf numFmtId="170" fontId="13" fillId="0" borderId="3" xfId="0" applyNumberFormat="1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7" fontId="3" fillId="0" borderId="0" xfId="0" applyNumberFormat="1" applyFont="1" applyAlignment="1">
      <alignment horizontal="center"/>
    </xf>
    <xf numFmtId="164" fontId="3" fillId="0" borderId="0" xfId="0" applyFont="1" applyFill="1" applyBorder="1" applyAlignment="1">
      <alignment horizontal="center"/>
    </xf>
    <xf numFmtId="167" fontId="1" fillId="0" borderId="0" xfId="0" applyNumberFormat="1" applyFont="1" applyAlignment="1">
      <alignment horizontal="right"/>
    </xf>
    <xf numFmtId="167" fontId="14" fillId="2" borderId="1" xfId="0" applyNumberFormat="1" applyFont="1" applyFill="1" applyBorder="1" applyAlignment="1">
      <alignment horizontal="center"/>
    </xf>
    <xf numFmtId="164" fontId="14" fillId="2" borderId="1" xfId="0" applyFont="1" applyFill="1" applyBorder="1" applyAlignment="1">
      <alignment horizontal="center"/>
    </xf>
    <xf numFmtId="164" fontId="3" fillId="0" borderId="0" xfId="0" applyFont="1" applyBorder="1" applyAlignment="1">
      <alignment horizontal="left" vertical="top" wrapText="1"/>
    </xf>
    <xf numFmtId="171" fontId="1" fillId="2" borderId="1" xfId="0" applyNumberFormat="1" applyFont="1" applyFill="1" applyBorder="1" applyAlignment="1">
      <alignment horizontal="left"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4" fontId="1" fillId="2" borderId="1" xfId="0" applyFont="1" applyFill="1" applyBorder="1" applyAlignment="1">
      <alignment horizontal="left"/>
    </xf>
    <xf numFmtId="164" fontId="15" fillId="2" borderId="1" xfId="0" applyFont="1" applyFill="1" applyBorder="1" applyAlignment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/>
    </xf>
    <xf numFmtId="167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Alignment="1">
      <alignment horizontal="left"/>
    </xf>
    <xf numFmtId="164" fontId="6" fillId="3" borderId="0" xfId="0" applyFont="1" applyFill="1" applyAlignment="1">
      <alignment/>
    </xf>
    <xf numFmtId="164" fontId="1" fillId="0" borderId="2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/>
    </xf>
    <xf numFmtId="164" fontId="1" fillId="0" borderId="12" xfId="0" applyFont="1" applyBorder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164" fontId="1" fillId="0" borderId="0" xfId="0" applyFont="1" applyAlignment="1">
      <alignment horizontal="left" vertical="top"/>
    </xf>
    <xf numFmtId="164" fontId="1" fillId="0" borderId="0" xfId="0" applyFont="1" applyAlignment="1">
      <alignment vertical="top"/>
    </xf>
    <xf numFmtId="164" fontId="1" fillId="0" borderId="0" xfId="0" applyFont="1" applyAlignment="1">
      <alignment horizontal="right" vertical="top"/>
    </xf>
    <xf numFmtId="164" fontId="3" fillId="0" borderId="0" xfId="0" applyFont="1" applyAlignment="1">
      <alignment horizontal="left" vertical="top"/>
    </xf>
    <xf numFmtId="164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164" fontId="0" fillId="0" borderId="0" xfId="0" applyBorder="1" applyAlignment="1">
      <alignment/>
    </xf>
    <xf numFmtId="164" fontId="17" fillId="0" borderId="0" xfId="0" applyFont="1" applyAlignment="1">
      <alignment horizontal="right"/>
    </xf>
    <xf numFmtId="167" fontId="0" fillId="0" borderId="0" xfId="0" applyNumberFormat="1" applyAlignment="1">
      <alignment/>
    </xf>
    <xf numFmtId="164" fontId="17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18" fillId="3" borderId="4" xfId="0" applyFont="1" applyFill="1" applyBorder="1" applyAlignment="1">
      <alignment/>
    </xf>
    <xf numFmtId="164" fontId="19" fillId="3" borderId="5" xfId="0" applyFont="1" applyFill="1" applyBorder="1" applyAlignment="1">
      <alignment/>
    </xf>
    <xf numFmtId="164" fontId="19" fillId="3" borderId="6" xfId="0" applyFont="1" applyFill="1" applyBorder="1" applyAlignment="1">
      <alignment/>
    </xf>
    <xf numFmtId="164" fontId="19" fillId="0" borderId="0" xfId="0" applyFont="1" applyFill="1" applyAlignment="1">
      <alignment/>
    </xf>
    <xf numFmtId="164" fontId="20" fillId="3" borderId="6" xfId="0" applyFont="1" applyFill="1" applyBorder="1" applyAlignment="1">
      <alignment horizontal="right"/>
    </xf>
    <xf numFmtId="164" fontId="0" fillId="0" borderId="7" xfId="0" applyBorder="1" applyAlignment="1">
      <alignment/>
    </xf>
    <xf numFmtId="164" fontId="0" fillId="0" borderId="0" xfId="0" applyFont="1" applyBorder="1" applyAlignment="1">
      <alignment horizontal="right"/>
    </xf>
    <xf numFmtId="164" fontId="17" fillId="0" borderId="0" xfId="0" applyFont="1" applyBorder="1" applyAlignment="1">
      <alignment horizontal="center"/>
    </xf>
    <xf numFmtId="164" fontId="17" fillId="0" borderId="8" xfId="0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64" fontId="0" fillId="0" borderId="8" xfId="0" applyBorder="1" applyAlignment="1">
      <alignment/>
    </xf>
    <xf numFmtId="167" fontId="17" fillId="0" borderId="8" xfId="0" applyNumberFormat="1" applyFont="1" applyBorder="1" applyAlignment="1">
      <alignment horizontal="center"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3" fillId="0" borderId="16" xfId="0" applyFont="1" applyBorder="1" applyAlignment="1">
      <alignment horizontal="right"/>
    </xf>
    <xf numFmtId="164" fontId="17" fillId="0" borderId="16" xfId="0" applyFont="1" applyBorder="1" applyAlignment="1">
      <alignment horizontal="center"/>
    </xf>
    <xf numFmtId="164" fontId="1" fillId="0" borderId="16" xfId="0" applyFont="1" applyBorder="1" applyAlignment="1">
      <alignment/>
    </xf>
    <xf numFmtId="164" fontId="0" fillId="0" borderId="17" xfId="0" applyBorder="1" applyAlignment="1">
      <alignment/>
    </xf>
    <xf numFmtId="164" fontId="0" fillId="0" borderId="9" xfId="0" applyBorder="1" applyAlignment="1">
      <alignment/>
    </xf>
    <xf numFmtId="164" fontId="0" fillId="0" borderId="11" xfId="0" applyFont="1" applyBorder="1" applyAlignment="1">
      <alignment horizontal="right"/>
    </xf>
    <xf numFmtId="164" fontId="17" fillId="0" borderId="11" xfId="0" applyFont="1" applyBorder="1" applyAlignment="1">
      <alignment horizont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3" fillId="0" borderId="11" xfId="0" applyFont="1" applyBorder="1" applyAlignment="1">
      <alignment horizontal="right"/>
    </xf>
    <xf numFmtId="164" fontId="14" fillId="0" borderId="11" xfId="0" applyFont="1" applyBorder="1" applyAlignment="1">
      <alignment/>
    </xf>
    <xf numFmtId="164" fontId="19" fillId="0" borderId="0" xfId="0" applyFont="1" applyFill="1" applyBorder="1" applyAlignment="1">
      <alignment/>
    </xf>
    <xf numFmtId="164" fontId="18" fillId="3" borderId="2" xfId="0" applyFont="1" applyFill="1" applyBorder="1" applyAlignment="1">
      <alignment horizontal="center"/>
    </xf>
    <xf numFmtId="164" fontId="1" fillId="0" borderId="9" xfId="0" applyFont="1" applyBorder="1" applyAlignment="1">
      <alignment horizontal="left" vertical="top" wrapText="1"/>
    </xf>
    <xf numFmtId="164" fontId="1" fillId="0" borderId="11" xfId="0" applyFont="1" applyBorder="1" applyAlignment="1">
      <alignment horizontal="center" vertical="top" wrapText="1"/>
    </xf>
    <xf numFmtId="164" fontId="1" fillId="0" borderId="12" xfId="0" applyFont="1" applyBorder="1" applyAlignment="1">
      <alignment horizontal="left" vertical="top" wrapText="1"/>
    </xf>
    <xf numFmtId="164" fontId="21" fillId="0" borderId="0" xfId="0" applyFont="1" applyBorder="1" applyAlignment="1">
      <alignment horizontal="left" vertical="top"/>
    </xf>
    <xf numFmtId="164" fontId="17" fillId="0" borderId="15" xfId="0" applyFont="1" applyBorder="1" applyAlignment="1">
      <alignment horizontal="center"/>
    </xf>
    <xf numFmtId="164" fontId="17" fillId="0" borderId="17" xfId="0" applyFont="1" applyBorder="1" applyAlignment="1">
      <alignment horizontal="center"/>
    </xf>
    <xf numFmtId="167" fontId="22" fillId="0" borderId="18" xfId="0" applyNumberFormat="1" applyFont="1" applyBorder="1" applyAlignment="1">
      <alignment horizontal="right"/>
    </xf>
    <xf numFmtId="167" fontId="22" fillId="0" borderId="0" xfId="0" applyNumberFormat="1" applyFont="1" applyAlignment="1">
      <alignment horizontal="right"/>
    </xf>
    <xf numFmtId="167" fontId="22" fillId="0" borderId="1" xfId="0" applyNumberFormat="1" applyFont="1" applyBorder="1" applyAlignment="1">
      <alignment horizontal="right"/>
    </xf>
    <xf numFmtId="167" fontId="22" fillId="0" borderId="19" xfId="0" applyNumberFormat="1" applyFont="1" applyBorder="1" applyAlignment="1">
      <alignment horizontal="right"/>
    </xf>
    <xf numFmtId="164" fontId="23" fillId="0" borderId="3" xfId="0" applyFont="1" applyBorder="1" applyAlignment="1">
      <alignment horizontal="center" vertical="center"/>
    </xf>
    <xf numFmtId="167" fontId="22" fillId="0" borderId="20" xfId="0" applyNumberFormat="1" applyFont="1" applyBorder="1" applyAlignment="1">
      <alignment horizontal="right"/>
    </xf>
    <xf numFmtId="167" fontId="22" fillId="0" borderId="10" xfId="0" applyNumberFormat="1" applyFont="1" applyBorder="1" applyAlignment="1">
      <alignment horizontal="right"/>
    </xf>
    <xf numFmtId="167" fontId="22" fillId="0" borderId="21" xfId="0" applyNumberFormat="1" applyFont="1" applyBorder="1" applyAlignment="1">
      <alignment horizontal="right"/>
    </xf>
    <xf numFmtId="164" fontId="17" fillId="0" borderId="3" xfId="0" applyFont="1" applyBorder="1" applyAlignment="1">
      <alignment horizontal="center" wrapText="1"/>
    </xf>
    <xf numFmtId="164" fontId="3" fillId="0" borderId="15" xfId="0" applyFont="1" applyBorder="1" applyAlignment="1">
      <alignment/>
    </xf>
    <xf numFmtId="164" fontId="3" fillId="0" borderId="22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4" fontId="3" fillId="0" borderId="17" xfId="0" applyFont="1" applyBorder="1" applyAlignment="1">
      <alignment horizontal="center"/>
    </xf>
    <xf numFmtId="167" fontId="14" fillId="0" borderId="20" xfId="0" applyNumberFormat="1" applyFont="1" applyBorder="1" applyAlignment="1">
      <alignment horizontal="left"/>
    </xf>
    <xf numFmtId="167" fontId="1" fillId="0" borderId="24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4" fillId="0" borderId="25" xfId="0" applyNumberFormat="1" applyFont="1" applyBorder="1" applyAlignment="1">
      <alignment horizontal="center"/>
    </xf>
    <xf numFmtId="167" fontId="1" fillId="0" borderId="25" xfId="0" applyNumberFormat="1" applyFont="1" applyBorder="1" applyAlignment="1">
      <alignment horizontal="center"/>
    </xf>
    <xf numFmtId="164" fontId="1" fillId="0" borderId="0" xfId="0" applyFont="1" applyBorder="1" applyAlignment="1">
      <alignment horizontal="right" vertical="top"/>
    </xf>
    <xf numFmtId="164" fontId="1" fillId="0" borderId="0" xfId="0" applyFont="1" applyBorder="1" applyAlignment="1">
      <alignment horizontal="center" vertical="top"/>
    </xf>
    <xf numFmtId="164" fontId="1" fillId="0" borderId="0" xfId="0" applyFont="1" applyBorder="1" applyAlignment="1">
      <alignment horizontal="left" vertical="top"/>
    </xf>
    <xf numFmtId="164" fontId="24" fillId="3" borderId="6" xfId="0" applyFont="1" applyFill="1" applyBorder="1" applyAlignment="1">
      <alignment horizontal="right"/>
    </xf>
    <xf numFmtId="164" fontId="18" fillId="3" borderId="5" xfId="0" applyFont="1" applyFill="1" applyBorder="1" applyAlignment="1">
      <alignment/>
    </xf>
    <xf numFmtId="164" fontId="18" fillId="3" borderId="6" xfId="0" applyFont="1" applyFill="1" applyBorder="1" applyAlignment="1">
      <alignment horizontal="right"/>
    </xf>
    <xf numFmtId="164" fontId="14" fillId="0" borderId="3" xfId="0" applyFont="1" applyBorder="1" applyAlignment="1">
      <alignment horizontal="left" vertical="top" wrapText="1" shrinkToFit="1"/>
    </xf>
    <xf numFmtId="164" fontId="3" fillId="0" borderId="26" xfId="0" applyFont="1" applyBorder="1" applyAlignment="1">
      <alignment horizontal="center"/>
    </xf>
    <xf numFmtId="164" fontId="1" fillId="0" borderId="9" xfId="0" applyFont="1" applyBorder="1" applyAlignment="1">
      <alignment horizontal="right" vertical="top" wrapText="1"/>
    </xf>
    <xf numFmtId="164" fontId="1" fillId="0" borderId="11" xfId="0" applyFont="1" applyBorder="1" applyAlignment="1">
      <alignment horizontal="right" vertical="top" wrapText="1"/>
    </xf>
    <xf numFmtId="164" fontId="1" fillId="0" borderId="12" xfId="0" applyFont="1" applyBorder="1" applyAlignment="1">
      <alignment horizontal="center" vertical="top" wrapText="1"/>
    </xf>
    <xf numFmtId="164" fontId="25" fillId="0" borderId="27" xfId="0" applyFont="1" applyBorder="1" applyAlignment="1">
      <alignment horizontal="center"/>
    </xf>
    <xf numFmtId="167" fontId="14" fillId="0" borderId="28" xfId="0" applyNumberFormat="1" applyFont="1" applyBorder="1" applyAlignment="1">
      <alignment horizontal="left" vertical="top" wrapText="1"/>
    </xf>
    <xf numFmtId="164" fontId="1" fillId="0" borderId="9" xfId="0" applyFont="1" applyFill="1" applyBorder="1" applyAlignment="1">
      <alignment horizontal="right" vertical="top" wrapText="1"/>
    </xf>
    <xf numFmtId="164" fontId="1" fillId="0" borderId="12" xfId="0" applyFont="1" applyFill="1" applyBorder="1" applyAlignment="1">
      <alignment horizontal="center" vertical="top" wrapText="1"/>
    </xf>
    <xf numFmtId="164" fontId="21" fillId="0" borderId="0" xfId="0" applyFont="1" applyFill="1" applyBorder="1" applyAlignment="1">
      <alignment horizontal="center" vertical="top"/>
    </xf>
    <xf numFmtId="164" fontId="1" fillId="0" borderId="3" xfId="0" applyFont="1" applyBorder="1" applyAlignment="1">
      <alignment horizontal="left" vertical="top" wrapText="1"/>
    </xf>
    <xf numFmtId="164" fontId="3" fillId="0" borderId="22" xfId="0" applyFont="1" applyBorder="1" applyAlignment="1">
      <alignment/>
    </xf>
    <xf numFmtId="164" fontId="3" fillId="0" borderId="29" xfId="0" applyFont="1" applyBorder="1" applyAlignment="1">
      <alignment horizontal="center"/>
    </xf>
    <xf numFmtId="164" fontId="14" fillId="0" borderId="30" xfId="0" applyFont="1" applyBorder="1" applyAlignment="1">
      <alignment horizontal="left"/>
    </xf>
    <xf numFmtId="164" fontId="14" fillId="0" borderId="13" xfId="0" applyFont="1" applyBorder="1" applyAlignment="1">
      <alignment horizontal="center"/>
    </xf>
    <xf numFmtId="164" fontId="14" fillId="0" borderId="8" xfId="0" applyFont="1" applyBorder="1" applyAlignment="1">
      <alignment horizontal="center"/>
    </xf>
    <xf numFmtId="167" fontId="14" fillId="5" borderId="31" xfId="0" applyNumberFormat="1" applyFont="1" applyFill="1" applyBorder="1" applyAlignment="1">
      <alignment horizontal="left"/>
    </xf>
    <xf numFmtId="164" fontId="14" fillId="5" borderId="32" xfId="0" applyFont="1" applyFill="1" applyBorder="1" applyAlignment="1">
      <alignment horizontal="center" wrapText="1"/>
    </xf>
    <xf numFmtId="164" fontId="14" fillId="5" borderId="33" xfId="0" applyFont="1" applyFill="1" applyBorder="1" applyAlignment="1">
      <alignment horizontal="center"/>
    </xf>
    <xf numFmtId="164" fontId="14" fillId="5" borderId="34" xfId="0" applyFont="1" applyFill="1" applyBorder="1" applyAlignment="1">
      <alignment horizontal="center"/>
    </xf>
    <xf numFmtId="167" fontId="14" fillId="0" borderId="31" xfId="0" applyNumberFormat="1" applyFont="1" applyFill="1" applyBorder="1" applyAlignment="1">
      <alignment horizontal="left"/>
    </xf>
    <xf numFmtId="164" fontId="14" fillId="0" borderId="33" xfId="0" applyFont="1" applyFill="1" applyBorder="1" applyAlignment="1">
      <alignment horizontal="center" wrapText="1"/>
    </xf>
    <xf numFmtId="164" fontId="14" fillId="0" borderId="33" xfId="0" applyFont="1" applyFill="1" applyBorder="1" applyAlignment="1">
      <alignment horizontal="center"/>
    </xf>
    <xf numFmtId="164" fontId="14" fillId="0" borderId="34" xfId="0" applyFont="1" applyFill="1" applyBorder="1" applyAlignment="1">
      <alignment horizontal="center"/>
    </xf>
    <xf numFmtId="167" fontId="14" fillId="5" borderId="35" xfId="0" applyNumberFormat="1" applyFont="1" applyFill="1" applyBorder="1" applyAlignment="1">
      <alignment horizontal="left"/>
    </xf>
    <xf numFmtId="164" fontId="14" fillId="5" borderId="25" xfId="0" applyFont="1" applyFill="1" applyBorder="1" applyAlignment="1">
      <alignment horizontal="center" wrapText="1"/>
    </xf>
    <xf numFmtId="164" fontId="14" fillId="5" borderId="25" xfId="0" applyFont="1" applyFill="1" applyBorder="1" applyAlignment="1">
      <alignment horizontal="center"/>
    </xf>
    <xf numFmtId="164" fontId="14" fillId="5" borderId="36" xfId="0" applyFont="1" applyFill="1" applyBorder="1" applyAlignment="1">
      <alignment horizontal="center"/>
    </xf>
    <xf numFmtId="164" fontId="18" fillId="3" borderId="4" xfId="0" applyFont="1" applyFill="1" applyBorder="1" applyAlignment="1">
      <alignment/>
    </xf>
    <xf numFmtId="164" fontId="19" fillId="3" borderId="5" xfId="0" applyFont="1" applyFill="1" applyBorder="1" applyAlignment="1">
      <alignment/>
    </xf>
    <xf numFmtId="164" fontId="0" fillId="3" borderId="5" xfId="0" applyFill="1" applyBorder="1" applyAlignment="1">
      <alignment/>
    </xf>
    <xf numFmtId="164" fontId="0" fillId="3" borderId="6" xfId="0" applyFill="1" applyBorder="1" applyAlignment="1">
      <alignment/>
    </xf>
    <xf numFmtId="164" fontId="3" fillId="0" borderId="15" xfId="0" applyFont="1" applyBorder="1" applyAlignment="1">
      <alignment/>
    </xf>
    <xf numFmtId="164" fontId="3" fillId="0" borderId="22" xfId="0" applyFont="1" applyBorder="1" applyAlignment="1">
      <alignment/>
    </xf>
    <xf numFmtId="164" fontId="3" fillId="0" borderId="16" xfId="0" applyFont="1" applyBorder="1" applyAlignment="1">
      <alignment horizontal="center"/>
    </xf>
    <xf numFmtId="167" fontId="14" fillId="0" borderId="31" xfId="0" applyNumberFormat="1" applyFont="1" applyBorder="1" applyAlignment="1">
      <alignment horizontal="left"/>
    </xf>
    <xf numFmtId="164" fontId="14" fillId="0" borderId="32" xfId="0" applyFont="1" applyBorder="1" applyAlignment="1">
      <alignment horizontal="center"/>
    </xf>
    <xf numFmtId="166" fontId="14" fillId="0" borderId="32" xfId="0" applyNumberFormat="1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67" fontId="14" fillId="0" borderId="8" xfId="0" applyNumberFormat="1" applyFont="1" applyBorder="1" applyAlignment="1">
      <alignment horizontal="center"/>
    </xf>
    <xf numFmtId="164" fontId="14" fillId="5" borderId="32" xfId="0" applyFont="1" applyFill="1" applyBorder="1" applyAlignment="1">
      <alignment horizontal="center"/>
    </xf>
    <xf numFmtId="166" fontId="14" fillId="5" borderId="32" xfId="0" applyNumberFormat="1" applyFont="1" applyFill="1" applyBorder="1" applyAlignment="1">
      <alignment horizontal="center"/>
    </xf>
    <xf numFmtId="164" fontId="14" fillId="5" borderId="0" xfId="0" applyFont="1" applyFill="1" applyBorder="1" applyAlignment="1">
      <alignment horizontal="center"/>
    </xf>
    <xf numFmtId="167" fontId="14" fillId="5" borderId="8" xfId="0" applyNumberFormat="1" applyFont="1" applyFill="1" applyBorder="1" applyAlignment="1">
      <alignment horizontal="center"/>
    </xf>
    <xf numFmtId="167" fontId="14" fillId="0" borderId="35" xfId="0" applyNumberFormat="1" applyFont="1" applyBorder="1" applyAlignment="1">
      <alignment horizontal="left"/>
    </xf>
    <xf numFmtId="164" fontId="14" fillId="0" borderId="37" xfId="0" applyFont="1" applyBorder="1" applyAlignment="1">
      <alignment horizontal="center"/>
    </xf>
    <xf numFmtId="166" fontId="14" fillId="0" borderId="37" xfId="0" applyNumberFormat="1" applyFont="1" applyBorder="1" applyAlignment="1">
      <alignment horizontal="center"/>
    </xf>
    <xf numFmtId="164" fontId="14" fillId="0" borderId="11" xfId="0" applyFont="1" applyBorder="1" applyAlignment="1">
      <alignment horizontal="center"/>
    </xf>
    <xf numFmtId="167" fontId="14" fillId="0" borderId="12" xfId="0" applyNumberFormat="1" applyFont="1" applyBorder="1" applyAlignment="1">
      <alignment horizontal="center"/>
    </xf>
    <xf numFmtId="164" fontId="1" fillId="0" borderId="0" xfId="0" applyFont="1" applyAlignment="1">
      <alignment vertical="center"/>
    </xf>
    <xf numFmtId="164" fontId="11" fillId="3" borderId="6" xfId="0" applyFont="1" applyFill="1" applyBorder="1" applyAlignment="1">
      <alignment/>
    </xf>
    <xf numFmtId="164" fontId="3" fillId="0" borderId="38" xfId="0" applyFont="1" applyBorder="1" applyAlignment="1">
      <alignment/>
    </xf>
    <xf numFmtId="167" fontId="1" fillId="0" borderId="31" xfId="0" applyNumberFormat="1" applyFont="1" applyBorder="1" applyAlignment="1">
      <alignment/>
    </xf>
    <xf numFmtId="167" fontId="1" fillId="0" borderId="33" xfId="0" applyNumberFormat="1" applyFont="1" applyBorder="1" applyAlignment="1">
      <alignment horizontal="center"/>
    </xf>
    <xf numFmtId="164" fontId="1" fillId="0" borderId="33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7" fontId="1" fillId="5" borderId="31" xfId="0" applyNumberFormat="1" applyFont="1" applyFill="1" applyBorder="1" applyAlignment="1">
      <alignment/>
    </xf>
    <xf numFmtId="167" fontId="1" fillId="5" borderId="33" xfId="0" applyNumberFormat="1" applyFont="1" applyFill="1" applyBorder="1" applyAlignment="1">
      <alignment horizontal="center"/>
    </xf>
    <xf numFmtId="164" fontId="1" fillId="5" borderId="33" xfId="0" applyFont="1" applyFill="1" applyBorder="1" applyAlignment="1">
      <alignment horizontal="center"/>
    </xf>
    <xf numFmtId="164" fontId="1" fillId="5" borderId="8" xfId="0" applyFont="1" applyFill="1" applyBorder="1" applyAlignment="1">
      <alignment horizontal="center"/>
    </xf>
    <xf numFmtId="167" fontId="1" fillId="0" borderId="31" xfId="0" applyNumberFormat="1" applyFont="1" applyFill="1" applyBorder="1" applyAlignment="1">
      <alignment/>
    </xf>
    <xf numFmtId="167" fontId="1" fillId="0" borderId="33" xfId="0" applyNumberFormat="1" applyFont="1" applyFill="1" applyBorder="1" applyAlignment="1">
      <alignment horizontal="center"/>
    </xf>
    <xf numFmtId="164" fontId="1" fillId="0" borderId="33" xfId="0" applyFont="1" applyFill="1" applyBorder="1" applyAlignment="1">
      <alignment horizontal="center"/>
    </xf>
    <xf numFmtId="164" fontId="1" fillId="0" borderId="8" xfId="0" applyFont="1" applyFill="1" applyBorder="1" applyAlignment="1">
      <alignment horizontal="center"/>
    </xf>
    <xf numFmtId="167" fontId="1" fillId="5" borderId="35" xfId="0" applyNumberFormat="1" applyFont="1" applyFill="1" applyBorder="1" applyAlignment="1">
      <alignment/>
    </xf>
    <xf numFmtId="167" fontId="1" fillId="5" borderId="25" xfId="0" applyNumberFormat="1" applyFont="1" applyFill="1" applyBorder="1" applyAlignment="1">
      <alignment horizontal="center"/>
    </xf>
    <xf numFmtId="164" fontId="1" fillId="5" borderId="25" xfId="0" applyFont="1" applyFill="1" applyBorder="1" applyAlignment="1">
      <alignment horizontal="center"/>
    </xf>
    <xf numFmtId="164" fontId="1" fillId="5" borderId="12" xfId="0" applyFont="1" applyFill="1" applyBorder="1" applyAlignment="1">
      <alignment horizontal="center"/>
    </xf>
    <xf numFmtId="164" fontId="1" fillId="3" borderId="5" xfId="0" applyFont="1" applyFill="1" applyBorder="1" applyAlignment="1">
      <alignment/>
    </xf>
    <xf numFmtId="164" fontId="1" fillId="3" borderId="5" xfId="0" applyFont="1" applyFill="1" applyBorder="1" applyAlignment="1">
      <alignment horizontal="center"/>
    </xf>
    <xf numFmtId="164" fontId="1" fillId="3" borderId="6" xfId="0" applyFont="1" applyFill="1" applyBorder="1" applyAlignment="1">
      <alignment horizontal="center"/>
    </xf>
    <xf numFmtId="164" fontId="3" fillId="0" borderId="23" xfId="0" applyFont="1" applyBorder="1" applyAlignment="1">
      <alignment/>
    </xf>
    <xf numFmtId="164" fontId="3" fillId="0" borderId="16" xfId="0" applyFont="1" applyBorder="1" applyAlignment="1">
      <alignment horizontal="left"/>
    </xf>
    <xf numFmtId="164" fontId="1" fillId="0" borderId="16" xfId="0" applyFont="1" applyBorder="1" applyAlignment="1">
      <alignment horizontal="center"/>
    </xf>
    <xf numFmtId="164" fontId="1" fillId="0" borderId="17" xfId="0" applyFont="1" applyBorder="1" applyAlignment="1">
      <alignment horizontal="center"/>
    </xf>
    <xf numFmtId="167" fontId="14" fillId="0" borderId="31" xfId="0" applyNumberFormat="1" applyFont="1" applyBorder="1" applyAlignment="1">
      <alignment/>
    </xf>
    <xf numFmtId="167" fontId="14" fillId="0" borderId="33" xfId="0" applyNumberFormat="1" applyFont="1" applyBorder="1" applyAlignment="1">
      <alignment horizontal="center"/>
    </xf>
    <xf numFmtId="167" fontId="14" fillId="0" borderId="8" xfId="0" applyNumberFormat="1" applyFont="1" applyBorder="1" applyAlignment="1">
      <alignment horizontal="left"/>
    </xf>
    <xf numFmtId="167" fontId="14" fillId="5" borderId="31" xfId="0" applyNumberFormat="1" applyFont="1" applyFill="1" applyBorder="1" applyAlignment="1">
      <alignment/>
    </xf>
    <xf numFmtId="167" fontId="14" fillId="5" borderId="33" xfId="0" applyNumberFormat="1" applyFont="1" applyFill="1" applyBorder="1" applyAlignment="1">
      <alignment horizontal="center"/>
    </xf>
    <xf numFmtId="167" fontId="14" fillId="5" borderId="8" xfId="0" applyNumberFormat="1" applyFont="1" applyFill="1" applyBorder="1" applyAlignment="1">
      <alignment horizontal="left"/>
    </xf>
    <xf numFmtId="167" fontId="14" fillId="0" borderId="35" xfId="0" applyNumberFormat="1" applyFont="1" applyBorder="1" applyAlignment="1">
      <alignment/>
    </xf>
    <xf numFmtId="167" fontId="14" fillId="0" borderId="12" xfId="0" applyNumberFormat="1" applyFont="1" applyBorder="1" applyAlignment="1">
      <alignment horizontal="left"/>
    </xf>
    <xf numFmtId="164" fontId="18" fillId="3" borderId="39" xfId="0" applyFont="1" applyFill="1" applyBorder="1" applyAlignment="1">
      <alignment/>
    </xf>
    <xf numFmtId="164" fontId="19" fillId="0" borderId="0" xfId="0" applyFont="1" applyAlignment="1">
      <alignment horizontal="center"/>
    </xf>
    <xf numFmtId="164" fontId="18" fillId="3" borderId="4" xfId="0" applyFont="1" applyFill="1" applyBorder="1" applyAlignment="1">
      <alignment horizontal="left"/>
    </xf>
    <xf numFmtId="164" fontId="19" fillId="3" borderId="5" xfId="0" applyFont="1" applyFill="1" applyBorder="1" applyAlignment="1">
      <alignment horizontal="left"/>
    </xf>
    <xf numFmtId="164" fontId="19" fillId="3" borderId="6" xfId="0" applyFont="1" applyFill="1" applyBorder="1" applyAlignment="1">
      <alignment horizontal="left"/>
    </xf>
    <xf numFmtId="164" fontId="3" fillId="0" borderId="38" xfId="0" applyFont="1" applyBorder="1" applyAlignment="1">
      <alignment horizontal="center"/>
    </xf>
    <xf numFmtId="164" fontId="3" fillId="0" borderId="38" xfId="0" applyFont="1" applyBorder="1" applyAlignment="1">
      <alignment horizontal="right"/>
    </xf>
    <xf numFmtId="164" fontId="3" fillId="0" borderId="17" xfId="0" applyFont="1" applyBorder="1" applyAlignment="1">
      <alignment horizontal="left"/>
    </xf>
    <xf numFmtId="164" fontId="1" fillId="0" borderId="20" xfId="0" applyFont="1" applyBorder="1" applyAlignment="1">
      <alignment horizontal="center" vertical="top" wrapText="1"/>
    </xf>
    <xf numFmtId="164" fontId="1" fillId="0" borderId="35" xfId="0" applyFont="1" applyBorder="1" applyAlignment="1">
      <alignment horizontal="right" vertical="top" wrapText="1"/>
    </xf>
    <xf numFmtId="164" fontId="1" fillId="0" borderId="25" xfId="0" applyFont="1" applyBorder="1" applyAlignment="1">
      <alignment horizontal="center" vertical="top" wrapText="1"/>
    </xf>
    <xf numFmtId="164" fontId="3" fillId="0" borderId="16" xfId="0" applyFont="1" applyBorder="1" applyAlignment="1">
      <alignment/>
    </xf>
    <xf numFmtId="164" fontId="3" fillId="0" borderId="22" xfId="0" applyFont="1" applyBorder="1" applyAlignment="1">
      <alignment horizontal="left"/>
    </xf>
    <xf numFmtId="167" fontId="1" fillId="0" borderId="35" xfId="0" applyNumberFormat="1" applyFont="1" applyBorder="1" applyAlignment="1">
      <alignment horizontal="left"/>
    </xf>
    <xf numFmtId="167" fontId="1" fillId="0" borderId="37" xfId="0" applyNumberFormat="1" applyFont="1" applyBorder="1" applyAlignment="1">
      <alignment horizontal="center"/>
    </xf>
    <xf numFmtId="167" fontId="1" fillId="0" borderId="37" xfId="0" applyNumberFormat="1" applyFont="1" applyBorder="1" applyAlignment="1">
      <alignment horizontal="left"/>
    </xf>
    <xf numFmtId="164" fontId="17" fillId="0" borderId="0" xfId="0" applyFont="1" applyAlignment="1">
      <alignment horizontal="center" vertical="center"/>
    </xf>
    <xf numFmtId="164" fontId="22" fillId="0" borderId="1" xfId="0" applyFont="1" applyBorder="1" applyAlignment="1">
      <alignment/>
    </xf>
    <xf numFmtId="164" fontId="22" fillId="0" borderId="1" xfId="0" applyFont="1" applyBorder="1" applyAlignment="1">
      <alignment horizontal="right"/>
    </xf>
    <xf numFmtId="164" fontId="1" fillId="0" borderId="0" xfId="0" applyFont="1" applyAlignment="1">
      <alignment horizontal="left" vertical="center"/>
    </xf>
    <xf numFmtId="164" fontId="1" fillId="2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808080"/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18</xdr:col>
      <xdr:colOff>619125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43338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313"/>
  <sheetViews>
    <sheetView tabSelected="1" workbookViewId="0" topLeftCell="A142">
      <selection activeCell="A197" sqref="A197"/>
    </sheetView>
  </sheetViews>
  <sheetFormatPr defaultColWidth="9.140625" defaultRowHeight="12.75"/>
  <cols>
    <col min="1" max="1" width="23.421875" style="1" customWidth="1"/>
    <col min="2" max="2" width="8.7109375" style="1" customWidth="1"/>
    <col min="3" max="3" width="8.57421875" style="1" customWidth="1"/>
    <col min="4" max="4" width="7.00390625" style="1" customWidth="1"/>
    <col min="5" max="5" width="18.8515625" style="1" customWidth="1"/>
    <col min="6" max="6" width="5.140625" style="1" customWidth="1"/>
    <col min="7" max="7" width="0.42578125" style="1" customWidth="1"/>
    <col min="8" max="8" width="23.8515625" style="1" customWidth="1"/>
    <col min="9" max="9" width="9.8515625" style="1" customWidth="1"/>
    <col min="10" max="10" width="6.00390625" style="1" customWidth="1"/>
    <col min="11" max="11" width="4.00390625" style="1" customWidth="1"/>
    <col min="12" max="12" width="12.00390625" style="1" customWidth="1"/>
    <col min="13" max="13" width="6.00390625" style="1" customWidth="1"/>
    <col min="14" max="16384" width="9.140625" style="1" customWidth="1"/>
  </cols>
  <sheetData>
    <row r="1" spans="1:12" ht="13.5">
      <c r="A1" s="2" t="s">
        <v>0</v>
      </c>
      <c r="B1" s="3">
        <v>400</v>
      </c>
      <c r="H1" s="4"/>
      <c r="L1" s="5"/>
    </row>
    <row r="2" ht="11.25">
      <c r="L2" s="6"/>
    </row>
    <row r="3" spans="1:12" ht="11.25">
      <c r="A3" s="7" t="s">
        <v>1</v>
      </c>
      <c r="B3" s="8"/>
      <c r="C3" s="8"/>
      <c r="D3" s="8"/>
      <c r="H3" s="9" t="s">
        <v>2</v>
      </c>
      <c r="L3" s="6"/>
    </row>
    <row r="4" spans="1:27" ht="12" customHeight="1">
      <c r="A4" s="7" t="s">
        <v>3</v>
      </c>
      <c r="B4" s="8" t="s">
        <v>4</v>
      </c>
      <c r="C4" s="8"/>
      <c r="D4" s="8"/>
      <c r="F4" s="10" t="s">
        <v>5</v>
      </c>
      <c r="H4" s="11">
        <f>B1-F5-F24-I68-B115-I90-J75-C110-B224-K99-C249-L249</f>
        <v>0</v>
      </c>
      <c r="L4" s="5" t="s">
        <v>6</v>
      </c>
      <c r="AA4" s="12"/>
    </row>
    <row r="5" spans="1:12" ht="11.25">
      <c r="A5" s="7" t="s">
        <v>7</v>
      </c>
      <c r="B5" s="8"/>
      <c r="C5" s="8"/>
      <c r="D5" s="8"/>
      <c r="F5" s="13">
        <f>VLOOKUP(B4,MetahumanTable,2,FALSE)</f>
        <v>0</v>
      </c>
      <c r="G5" s="14"/>
      <c r="H5" s="11"/>
      <c r="L5" s="6" t="s">
        <v>8</v>
      </c>
    </row>
    <row r="6" spans="7:12" ht="12" customHeight="1">
      <c r="G6" s="14"/>
      <c r="H6" s="11"/>
      <c r="L6" s="15" t="s">
        <v>9</v>
      </c>
    </row>
    <row r="7" spans="1:12" ht="11.25" customHeight="1">
      <c r="A7" s="16" t="s">
        <v>10</v>
      </c>
      <c r="B7" s="17" t="s">
        <v>11</v>
      </c>
      <c r="D7" s="16" t="s">
        <v>12</v>
      </c>
      <c r="E7" s="17" t="s">
        <v>13</v>
      </c>
      <c r="G7" s="18"/>
      <c r="H7" s="18"/>
      <c r="L7" s="19" t="s">
        <v>14</v>
      </c>
    </row>
    <row r="8" spans="7:12" ht="11.25" customHeight="1">
      <c r="G8" s="18"/>
      <c r="H8" s="18"/>
      <c r="L8" s="19" t="s">
        <v>15</v>
      </c>
    </row>
    <row r="9" spans="7:8" ht="7.5" customHeight="1">
      <c r="G9" s="18"/>
      <c r="H9" s="18"/>
    </row>
    <row r="10" spans="2:9" ht="11.25" customHeight="1">
      <c r="B10" s="10" t="s">
        <v>16</v>
      </c>
      <c r="C10" s="10" t="s">
        <v>17</v>
      </c>
      <c r="D10" s="10" t="s">
        <v>18</v>
      </c>
      <c r="E10" s="10" t="s">
        <v>19</v>
      </c>
      <c r="F10" s="10" t="s">
        <v>5</v>
      </c>
      <c r="H10" s="10" t="s">
        <v>20</v>
      </c>
      <c r="I10" s="20" t="s">
        <v>21</v>
      </c>
    </row>
    <row r="11" spans="1:14" ht="10.5">
      <c r="A11" s="20" t="s">
        <v>22</v>
      </c>
      <c r="B11" s="13">
        <f>VLOOKUP($B$4,MetahumanTable,3,FALSE)</f>
        <v>1</v>
      </c>
      <c r="C11" s="21">
        <v>2</v>
      </c>
      <c r="D11" s="10">
        <f>B11+C11</f>
        <v>3</v>
      </c>
      <c r="E11" s="13">
        <f>VLOOKUP($B$4,MetahumanTable,4,FALSE)+IF(COUNTIF(PosQualTaken,"Exceptional Attribute, Body")&gt;0,1,0)</f>
        <v>6</v>
      </c>
      <c r="F11" s="13">
        <f>IF(D11&gt;(E11-1),(C11-1)*10+25,10*C11)</f>
        <v>20</v>
      </c>
      <c r="G11" s="4">
        <f>IF(D11&gt;E11,"EXCEEDS MAXIMUM ATTRIBUTE LEVEL!","")</f>
      </c>
      <c r="H11" s="13">
        <f>VLOOKUP($B$4,MetahumanTable,5,FALSE)+IF(COUNTIF(PosQualTaken,"Exceptional Attribute, Body")&gt;0,1,0)</f>
        <v>9</v>
      </c>
      <c r="I11" s="10">
        <f>MIN(H11,D11+Tables!F1558)+AdeptBod</f>
        <v>4</v>
      </c>
      <c r="N11" s="10"/>
    </row>
    <row r="12" spans="1:14" ht="10.5">
      <c r="A12" s="20" t="s">
        <v>23</v>
      </c>
      <c r="B12" s="13">
        <f>VLOOKUP($B$4,MetahumanTable,6,FALSE)</f>
        <v>1</v>
      </c>
      <c r="C12" s="21"/>
      <c r="D12" s="10">
        <f>B12+C12</f>
        <v>1</v>
      </c>
      <c r="E12" s="13">
        <f>VLOOKUP($B$4,MetahumanTable,7,FALSE)+IF(COUNTIF(PosQualTaken,"Exceptional Attribute, Agility")&gt;0,1,0)</f>
        <v>6</v>
      </c>
      <c r="F12" s="13">
        <f>IF(D12&gt;(E12-1),(C12-1)*10+25,10*C12)</f>
        <v>0</v>
      </c>
      <c r="G12" s="4">
        <f>IF(D12&gt;E12,"EXCEEDS MAXIMUM ATTRIBUTE LEVEL!","")</f>
      </c>
      <c r="H12" s="13">
        <f>VLOOKUP($B$4,MetahumanTable,8,FALSE)+IF(COUNTIF(PosQualTaken,"Exceptional Attribute, Agility")&gt;0,1,0)</f>
        <v>9</v>
      </c>
      <c r="I12" s="10">
        <f>MAX(0,MIN(H12,D12+Tables!G1558)+AdeptAgi+ArmorPenalty)</f>
        <v>6</v>
      </c>
      <c r="L12" s="20" t="s">
        <v>24</v>
      </c>
      <c r="M12" s="10">
        <f>I13+I17</f>
        <v>9</v>
      </c>
      <c r="N12" s="10"/>
    </row>
    <row r="13" spans="1:14" ht="10.5">
      <c r="A13" s="20" t="s">
        <v>25</v>
      </c>
      <c r="B13" s="13">
        <f>VLOOKUP($B$4,MetahumanTable,9,FALSE)</f>
        <v>1</v>
      </c>
      <c r="C13" s="21"/>
      <c r="D13" s="10">
        <f>B13+C13</f>
        <v>1</v>
      </c>
      <c r="E13" s="13">
        <f>VLOOKUP($B$4,MetahumanTable,10,FALSE)+IF(COUNTIF(PosQualTaken,"Exceptional Attribute, Reaction")&gt;0,1,0)</f>
        <v>6</v>
      </c>
      <c r="F13" s="13">
        <f>IF(D13&gt;(E13-1),(C13-1)*10+25,10*C13)</f>
        <v>0</v>
      </c>
      <c r="G13" s="4">
        <f>IF(D13&gt;E13,"EXCEEDS MAXIMUM ATTRIBUTE LEVEL!","")</f>
      </c>
      <c r="H13" s="13">
        <f>VLOOKUP($B$4,MetahumanTable,11,FALSE)+IF(COUNTIF(PosQualTaken,"Exceptional Attribute, Reaction")&gt;0,1,0)</f>
        <v>9</v>
      </c>
      <c r="I13" s="10">
        <f>MAX(0,MIN(H13,D13+Tables!H1558)+AdeptRea+ArmorPenalty)</f>
        <v>5</v>
      </c>
      <c r="L13" s="20" t="s">
        <v>26</v>
      </c>
      <c r="M13" s="10">
        <f>ROUNDUP(I19/2,0)+8</f>
        <v>11</v>
      </c>
      <c r="N13" s="10"/>
    </row>
    <row r="14" spans="1:14" ht="10.5">
      <c r="A14" s="20" t="s">
        <v>27</v>
      </c>
      <c r="B14" s="13">
        <f>VLOOKUP($B$4,MetahumanTable,12,FALSE)</f>
        <v>1</v>
      </c>
      <c r="C14" s="21"/>
      <c r="D14" s="10">
        <f>B14+C14</f>
        <v>1</v>
      </c>
      <c r="E14" s="13">
        <f>VLOOKUP($B$4,MetahumanTable,13,FALSE)+IF(COUNTIF(PosQualTaken,"Exceptional Attribute, Strength")&gt;0,1,0)</f>
        <v>6</v>
      </c>
      <c r="F14" s="13">
        <f>IF(D14&gt;(E14-1),(C14-1)*10+25,10*C14)</f>
        <v>0</v>
      </c>
      <c r="G14" s="4">
        <f>IF(D14&gt;E14,"EXCEEDS MAXIMUM ATTRIBUTE LEVEL!","")</f>
      </c>
      <c r="H14" s="13">
        <f>VLOOKUP($B$4,MetahumanTable,14,FALSE)+IF(COUNTIF(PosQualTaken,"Exceptional Attribute, Strength")&gt;0,1,0)</f>
        <v>9</v>
      </c>
      <c r="I14" s="10">
        <f>MIN(H14,D14+Tables!I1558)+AdeptStr</f>
        <v>6</v>
      </c>
      <c r="L14" s="20" t="s">
        <v>28</v>
      </c>
      <c r="M14" s="10">
        <f>ROUNDUP(I11/2,0)+8</f>
        <v>10</v>
      </c>
      <c r="N14" s="10"/>
    </row>
    <row r="15" spans="1:14" ht="10.5">
      <c r="A15" s="20"/>
      <c r="B15" s="13"/>
      <c r="C15" s="13"/>
      <c r="D15" s="10"/>
      <c r="F15" s="13"/>
      <c r="I15" s="10"/>
      <c r="N15" s="10"/>
    </row>
    <row r="16" spans="1:14" ht="10.5">
      <c r="A16" s="20" t="s">
        <v>29</v>
      </c>
      <c r="B16" s="13">
        <f>VLOOKUP($B$4,MetahumanTable,15,FALSE)</f>
        <v>1</v>
      </c>
      <c r="C16" s="21">
        <v>4</v>
      </c>
      <c r="D16" s="10">
        <f>B16+C16</f>
        <v>5</v>
      </c>
      <c r="E16" s="13">
        <f>VLOOKUP($B$4,MetahumanTable,16,FALSE)+IF(COUNTIF(PosQualTaken,"Exceptional Attribute, Charisma")&gt;0,1,0)</f>
        <v>6</v>
      </c>
      <c r="F16" s="13">
        <f>IF(D16&gt;(E16-1),(C16-1)*10+25,10*C16)</f>
        <v>40</v>
      </c>
      <c r="G16" s="4">
        <f>IF(D16&gt;E16,"EXCEEDS MAXIMUM ATTRIBUTE LEVEL!","")</f>
      </c>
      <c r="H16" s="13">
        <f>VLOOKUP($B$4,MetahumanTable,17,FALSE)+IF(COUNTIF(PosQualTaken,"Exceptional Attribute, Charisma")&gt;0,1,0)</f>
        <v>9</v>
      </c>
      <c r="I16" s="10">
        <f>MIN(H16,D16+Tables!J1558)</f>
        <v>5</v>
      </c>
      <c r="J16" s="22"/>
      <c r="K16" s="23"/>
      <c r="N16" s="10"/>
    </row>
    <row r="17" spans="1:14" ht="10.5">
      <c r="A17" s="20" t="s">
        <v>30</v>
      </c>
      <c r="B17" s="13">
        <f>VLOOKUP($B$4,MetahumanTable,18,FALSE)</f>
        <v>1</v>
      </c>
      <c r="C17" s="21">
        <v>3</v>
      </c>
      <c r="D17" s="10">
        <f>B17+C17</f>
        <v>4</v>
      </c>
      <c r="E17" s="13">
        <f>VLOOKUP($B$4,MetahumanTable,19,FALSE)+IF(COUNTIF(PosQualTaken,"Exceptional Attribute, Intuition")&gt;0,1,0)</f>
        <v>6</v>
      </c>
      <c r="F17" s="13">
        <f>IF(D17&gt;(E17-1),(C17-1)*10+25,10*C17)</f>
        <v>30</v>
      </c>
      <c r="G17" s="4">
        <f>IF(D17&gt;E17,"EXCEEDS MAXIMUM ATTRIBUTE LEVEL!","")</f>
      </c>
      <c r="H17" s="13">
        <f>VLOOKUP($B$4,MetahumanTable,20,FALSE)+IF(COUNTIF(PosQualTaken,"Exceptional Attribute, Logic")&gt;0,1,0)</f>
        <v>9</v>
      </c>
      <c r="I17" s="10">
        <f>MIN(H17,D17+Tables!K1558)</f>
        <v>4</v>
      </c>
      <c r="J17" s="22"/>
      <c r="K17" s="23"/>
      <c r="N17" s="10"/>
    </row>
    <row r="18" spans="1:14" ht="10.5">
      <c r="A18" s="20" t="s">
        <v>31</v>
      </c>
      <c r="B18" s="13">
        <f>VLOOKUP($B$4,MetahumanTable,21,FALSE)</f>
        <v>1</v>
      </c>
      <c r="C18" s="21"/>
      <c r="D18" s="10">
        <f>B18+C18</f>
        <v>1</v>
      </c>
      <c r="E18" s="13">
        <f>VLOOKUP($B$4,MetahumanTable,22,FALSE)+IF(COUNTIF(PosQualTaken,"Exceptional Attribute, Logic")&gt;0,1,0)</f>
        <v>6</v>
      </c>
      <c r="F18" s="13">
        <f>IF(D18&gt;(E18-1),(C18-1)*10+25,10*C18)</f>
        <v>0</v>
      </c>
      <c r="G18" s="4">
        <f>IF(D18&gt;E18,"EXCEEDS MAXIMUM ATTRIBUTE LEVEL!","")</f>
      </c>
      <c r="H18" s="13">
        <f>VLOOKUP($B$4,MetahumanTable,23,FALSE)+IF(COUNTIF(PosQualTaken,"Exceptional Attribute, Willpower")&gt;0,1,0)</f>
        <v>9</v>
      </c>
      <c r="I18" s="10">
        <f>MIN(H18,D18+Tables!L1558)</f>
        <v>4</v>
      </c>
      <c r="J18" s="22"/>
      <c r="K18" s="24"/>
      <c r="L18" s="13"/>
      <c r="M18" s="13"/>
      <c r="N18" s="10"/>
    </row>
    <row r="19" spans="1:14" ht="10.5">
      <c r="A19" s="20" t="s">
        <v>32</v>
      </c>
      <c r="B19" s="13">
        <f>VLOOKUP($B$4,MetahumanTable,24,FALSE)</f>
        <v>1</v>
      </c>
      <c r="C19" s="21">
        <v>4</v>
      </c>
      <c r="D19" s="10">
        <f>B19+C19</f>
        <v>5</v>
      </c>
      <c r="E19" s="13">
        <f>VLOOKUP($B$4,MetahumanTable,25,FALSE)+IF(COUNTIF(PosQualTaken,"Exceptional Attribute, Willpower")&gt;0,1,0)</f>
        <v>6</v>
      </c>
      <c r="F19" s="13">
        <f>IF(D19&gt;(E19-1),(C19-1)*10+25,10*C19)</f>
        <v>40</v>
      </c>
      <c r="G19" s="4">
        <f>IF(D19&gt;E19,"EXCEEDS MAXIMUM ATTRIBUTE LEVEL!","")</f>
      </c>
      <c r="H19" s="13">
        <f>VLOOKUP($B$4,MetahumanTable,26,FALSE)</f>
        <v>9</v>
      </c>
      <c r="I19" s="10">
        <f>MIN(H19,D19+Tables!M1558)</f>
        <v>5</v>
      </c>
      <c r="J19" s="25"/>
      <c r="K19" s="23"/>
      <c r="N19" s="10"/>
    </row>
    <row r="20" spans="10:11" ht="10.5">
      <c r="J20" s="22"/>
      <c r="K20" s="23"/>
    </row>
    <row r="21" spans="1:14" ht="10.5">
      <c r="A21" s="20" t="s">
        <v>33</v>
      </c>
      <c r="B21" s="13">
        <f>IF($B$4="Human",2,1)</f>
        <v>2</v>
      </c>
      <c r="C21" s="21">
        <v>5</v>
      </c>
      <c r="D21" s="10">
        <f>B21+C21</f>
        <v>7</v>
      </c>
      <c r="E21" s="13">
        <f>IF($B$4="Human",7,6)+IF(COUNTIF(PosQualTaken,"Lucky")&gt;0,1,0)</f>
        <v>7</v>
      </c>
      <c r="F21" s="13">
        <f>10*C21</f>
        <v>50</v>
      </c>
      <c r="G21" s="4">
        <f>IF(D21&gt;E21,"EXCEEDS MAXIMUM ATTRIBUTE LEVEL!","")</f>
      </c>
      <c r="J21" s="26"/>
      <c r="N21" s="10"/>
    </row>
    <row r="22" spans="1:14" ht="11.25" customHeight="1">
      <c r="A22" s="20" t="s">
        <v>34</v>
      </c>
      <c r="B22" s="13">
        <f>AC83</f>
        <v>0</v>
      </c>
      <c r="C22" s="21"/>
      <c r="D22" s="10">
        <f>B22+C22</f>
        <v>0</v>
      </c>
      <c r="E22" s="13">
        <v>6</v>
      </c>
      <c r="F22" s="13">
        <f>IF(D22&gt;(E22-1),(C22-1)*10+25,10*C22)</f>
        <v>0</v>
      </c>
      <c r="G22" s="4">
        <f>IF(D22&gt;E22,"EXCEEDS MAXIMUM ATTRIBUTE LEVEL!","")</f>
      </c>
      <c r="I22" s="14">
        <f>MAX(0,D22-ROUNDUP(Sheet1!B169,0))</f>
        <v>0</v>
      </c>
      <c r="J22" s="26"/>
      <c r="N22" s="10"/>
    </row>
    <row r="23" spans="1:14" s="33" customFormat="1" ht="12" customHeight="1">
      <c r="A23" s="27" t="s">
        <v>35</v>
      </c>
      <c r="B23" s="28">
        <f>AD83</f>
        <v>0</v>
      </c>
      <c r="C23" s="29"/>
      <c r="D23" s="30">
        <f>B23+C23</f>
        <v>0</v>
      </c>
      <c r="E23" s="28">
        <v>6</v>
      </c>
      <c r="F23" s="28">
        <f>IF(D23&gt;(E23-1),(C23-1)*10+25,10*C23)</f>
        <v>0</v>
      </c>
      <c r="G23" s="31">
        <f>IF(D22&gt;E22,"EXCEEDS MAXIMUM ATTRIBUTE LEVEL!","")</f>
      </c>
      <c r="H23" s="32"/>
      <c r="J23" s="34"/>
      <c r="N23" s="30"/>
    </row>
    <row r="24" spans="5:10" ht="10.5">
      <c r="E24" s="35" t="s">
        <v>36</v>
      </c>
      <c r="F24" s="36">
        <f>SUM(F11:F23)</f>
        <v>180</v>
      </c>
      <c r="G24" s="4">
        <f>IF(D23&gt;E23,"EXCEEDS MAXIMUM ATTRIBUTE LEVEL!","")</f>
      </c>
      <c r="J24" s="26"/>
    </row>
    <row r="25" ht="10.5">
      <c r="G25" s="4"/>
    </row>
    <row r="28" ht="10.5">
      <c r="A28" s="37" t="s">
        <v>37</v>
      </c>
    </row>
    <row r="30" spans="1:13" ht="10.5">
      <c r="A30" s="38" t="s">
        <v>38</v>
      </c>
      <c r="B30" s="39"/>
      <c r="C30" s="40"/>
      <c r="D30" s="41"/>
      <c r="E30" s="42" t="s">
        <v>39</v>
      </c>
      <c r="F30" s="43" t="s">
        <v>5</v>
      </c>
      <c r="H30" s="38" t="s">
        <v>40</v>
      </c>
      <c r="I30" s="39"/>
      <c r="J30" s="41"/>
      <c r="K30" s="41"/>
      <c r="L30" s="42" t="s">
        <v>39</v>
      </c>
      <c r="M30" s="43" t="s">
        <v>5</v>
      </c>
    </row>
    <row r="31" spans="1:13" ht="10.5">
      <c r="A31" s="44" t="s">
        <v>41</v>
      </c>
      <c r="B31" s="8"/>
      <c r="C31" s="45"/>
      <c r="D31" s="23"/>
      <c r="E31" s="8"/>
      <c r="F31" s="46">
        <f>4*B31+IF(ISTEXT(E31)=TRUE,2,0)</f>
        <v>0</v>
      </c>
      <c r="H31" s="44" t="s">
        <v>42</v>
      </c>
      <c r="I31" s="8"/>
      <c r="J31" s="23"/>
      <c r="K31" s="23"/>
      <c r="L31" s="8"/>
      <c r="M31" s="46">
        <f>(4*I31+IF(ISTEXT(L31)=TRUE,2,0))*IF(COUNTIF(NegQualTaken,"Infirm")&gt;0,2,1)</f>
        <v>0</v>
      </c>
    </row>
    <row r="32" spans="1:13" ht="10.5">
      <c r="A32" s="44" t="s">
        <v>43</v>
      </c>
      <c r="B32" s="8"/>
      <c r="C32" s="45"/>
      <c r="D32" s="23"/>
      <c r="E32" s="8"/>
      <c r="F32" s="46">
        <f>4*B32+IF(ISTEXT(E32)=TRUE,2,0)</f>
        <v>0</v>
      </c>
      <c r="H32" s="44" t="s">
        <v>44</v>
      </c>
      <c r="I32" s="8"/>
      <c r="J32" s="23"/>
      <c r="K32" s="23"/>
      <c r="L32" s="8"/>
      <c r="M32" s="46">
        <f>(4*I32+IF(ISTEXT(L32)=TRUE,2,0))*IF(COUNTIF(NegQualTaken,"Infirm")&gt;0,2,1)</f>
        <v>0</v>
      </c>
    </row>
    <row r="33" spans="1:13" ht="10.5">
      <c r="A33" s="44" t="s">
        <v>45</v>
      </c>
      <c r="B33" s="8"/>
      <c r="C33" s="45"/>
      <c r="D33" s="23"/>
      <c r="E33" s="8"/>
      <c r="F33" s="46">
        <f>4*B33+IF(ISTEXT(E33)=TRUE,2,0)</f>
        <v>0</v>
      </c>
      <c r="H33" s="44" t="s">
        <v>46</v>
      </c>
      <c r="I33" s="8"/>
      <c r="J33" s="23"/>
      <c r="K33" s="23"/>
      <c r="L33" s="8"/>
      <c r="M33" s="46">
        <f>(4*I33+IF(ISTEXT(L33)=TRUE,2,0))*IF(COUNTIF(NegQualTaken,"Infirm")&gt;0,2,1)</f>
        <v>0</v>
      </c>
    </row>
    <row r="34" spans="1:13" ht="10.5">
      <c r="A34" s="44" t="s">
        <v>47</v>
      </c>
      <c r="B34" s="8"/>
      <c r="C34" s="45"/>
      <c r="D34" s="23"/>
      <c r="E34" s="8"/>
      <c r="F34" s="46">
        <f>4*B34+IF(ISTEXT(E34)=TRUE,2,0)</f>
        <v>0</v>
      </c>
      <c r="H34" s="44" t="s">
        <v>48</v>
      </c>
      <c r="I34" s="8"/>
      <c r="J34" s="23"/>
      <c r="K34" s="23"/>
      <c r="L34" s="8"/>
      <c r="M34" s="46">
        <f>(4*I34+IF(ISTEXT(L34)=TRUE,2,0))*IF(COUNTIF(NegQualTaken,"Infirm")&gt;0,2,1)</f>
        <v>0</v>
      </c>
    </row>
    <row r="35" spans="1:13" ht="10.5">
      <c r="A35" s="44" t="s">
        <v>49</v>
      </c>
      <c r="B35" s="8"/>
      <c r="C35" s="45"/>
      <c r="D35" s="23"/>
      <c r="E35" s="8"/>
      <c r="F35" s="46">
        <f>4*B35+IF(ISTEXT(E35)=TRUE,2,0)</f>
        <v>0</v>
      </c>
      <c r="H35" s="44" t="s">
        <v>50</v>
      </c>
      <c r="I35" s="8"/>
      <c r="J35" s="23"/>
      <c r="K35" s="23"/>
      <c r="L35" s="8"/>
      <c r="M35" s="46">
        <f>(4*I35+IF(ISTEXT(L35)=TRUE,2,0))*IF(COUNTIF(NegQualTaken,"Infirm")&gt;0,2,1)</f>
        <v>0</v>
      </c>
    </row>
    <row r="36" spans="1:13" ht="10.5">
      <c r="A36" s="44" t="s">
        <v>51</v>
      </c>
      <c r="B36" s="8"/>
      <c r="C36" s="45"/>
      <c r="D36" s="23"/>
      <c r="E36" s="8"/>
      <c r="F36" s="46">
        <f>4*B36+IF(ISTEXT(E36)=TRUE,2,0)</f>
        <v>0</v>
      </c>
      <c r="H36" s="44" t="s">
        <v>52</v>
      </c>
      <c r="I36" s="8"/>
      <c r="J36" s="23"/>
      <c r="K36" s="23"/>
      <c r="L36" s="8"/>
      <c r="M36" s="46">
        <f>(4*I36+IF(ISTEXT(L36)=TRUE,2,0))*IF(COUNTIF(NegQualTaken,"Infirm")&gt;0,2,1)</f>
        <v>0</v>
      </c>
    </row>
    <row r="37" spans="1:13" ht="10.5">
      <c r="A37" s="44" t="s">
        <v>53</v>
      </c>
      <c r="B37" s="8"/>
      <c r="C37" s="45"/>
      <c r="D37" s="23"/>
      <c r="E37" s="8"/>
      <c r="F37" s="46">
        <f>4*B37+IF(ISTEXT(E37)=TRUE,2,0)</f>
        <v>0</v>
      </c>
      <c r="H37" s="44" t="s">
        <v>54</v>
      </c>
      <c r="I37" s="8"/>
      <c r="J37" s="23"/>
      <c r="K37" s="23"/>
      <c r="L37" s="8"/>
      <c r="M37" s="46">
        <f>(4*I37+IF(ISTEXT(L37)=TRUE,2,0))*IF(COUNTIF(NegQualTaken,"Infirm")&gt;0,2,1)</f>
        <v>0</v>
      </c>
    </row>
    <row r="38" spans="1:13" ht="10.5">
      <c r="A38" s="44" t="s">
        <v>55</v>
      </c>
      <c r="B38" s="8"/>
      <c r="C38" s="45"/>
      <c r="D38" s="23"/>
      <c r="E38" s="8"/>
      <c r="F38" s="46">
        <f>4*B38+IF(ISTEXT(E38)=TRUE,2,0)</f>
        <v>0</v>
      </c>
      <c r="H38" s="44" t="s">
        <v>56</v>
      </c>
      <c r="I38" s="8"/>
      <c r="J38" s="23"/>
      <c r="K38" s="23"/>
      <c r="L38" s="8"/>
      <c r="M38" s="46">
        <f>(4*I38+IF(ISTEXT(L38)=TRUE,2,0))*IF(COUNTIF(NegQualTaken,"Infirm")&gt;0,2,1)</f>
        <v>0</v>
      </c>
    </row>
    <row r="39" spans="1:13" ht="10.5">
      <c r="A39" s="44" t="s">
        <v>57</v>
      </c>
      <c r="B39" s="8"/>
      <c r="C39" s="45"/>
      <c r="D39" s="23"/>
      <c r="E39" s="8"/>
      <c r="F39" s="46">
        <f>4*B39+IF(ISTEXT(E39)=TRUE,2,0)</f>
        <v>0</v>
      </c>
      <c r="H39" s="44" t="s">
        <v>58</v>
      </c>
      <c r="I39" s="8"/>
      <c r="J39" s="23"/>
      <c r="K39" s="23"/>
      <c r="L39" s="8"/>
      <c r="M39" s="46">
        <f>(4*I39+IF(ISTEXT(L39)=TRUE,2,0))*IF(COUNTIF(NegQualTaken,"Infirm")&gt;0,2,1)</f>
        <v>0</v>
      </c>
    </row>
    <row r="40" spans="1:13" ht="10.5">
      <c r="A40" s="44" t="s">
        <v>59</v>
      </c>
      <c r="B40" s="8"/>
      <c r="C40" s="45"/>
      <c r="D40" s="23"/>
      <c r="E40" s="8"/>
      <c r="F40" s="46">
        <f>4*B40+IF(ISTEXT(E40)=TRUE,2,0)</f>
        <v>0</v>
      </c>
      <c r="H40" s="44" t="s">
        <v>60</v>
      </c>
      <c r="I40" s="8">
        <v>3</v>
      </c>
      <c r="J40" s="23"/>
      <c r="K40" s="23"/>
      <c r="L40" s="8"/>
      <c r="M40" s="46">
        <f>(4*I40+IF(ISTEXT(L40)=TRUE,2,0))*IF(COUNTIF(NegQualTaken,"Infirm")&gt;0,2,1)</f>
        <v>12</v>
      </c>
    </row>
    <row r="41" spans="1:13" ht="10.5">
      <c r="A41" s="44" t="s">
        <v>61</v>
      </c>
      <c r="B41" s="8"/>
      <c r="C41" s="45"/>
      <c r="D41" s="23"/>
      <c r="E41" s="8"/>
      <c r="F41" s="46">
        <f>4*B41+IF(ISTEXT(E41)=TRUE,2,0)</f>
        <v>0</v>
      </c>
      <c r="H41" s="44" t="s">
        <v>62</v>
      </c>
      <c r="I41" s="8"/>
      <c r="J41" s="23"/>
      <c r="K41" s="23"/>
      <c r="L41" s="8"/>
      <c r="M41" s="46">
        <f>(4*I41+IF(ISTEXT(L41)=TRUE,2,0))*IF(COUNTIF(NegQualTaken,"Infirm")&gt;0,2,1)</f>
        <v>0</v>
      </c>
    </row>
    <row r="42" spans="1:13" ht="10.5">
      <c r="A42" s="47" t="s">
        <v>63</v>
      </c>
      <c r="B42" s="48"/>
      <c r="C42" s="49"/>
      <c r="D42" s="50"/>
      <c r="E42" s="48"/>
      <c r="F42" s="51">
        <f>4*B42+IF(ISTEXT(E42)=TRUE,2,0)</f>
        <v>0</v>
      </c>
      <c r="H42" s="44" t="s">
        <v>64</v>
      </c>
      <c r="I42" s="8"/>
      <c r="J42" s="23"/>
      <c r="K42" s="23"/>
      <c r="L42" s="8"/>
      <c r="M42" s="46">
        <f>(4*I42+IF(ISTEXT(L42)=TRUE,2,0))*IF(COUNTIF(NegQualTaken,"Infirm")&gt;0,2,1)</f>
        <v>0</v>
      </c>
    </row>
    <row r="43" spans="2:13" ht="10.5">
      <c r="B43" s="13"/>
      <c r="H43" s="44" t="s">
        <v>65</v>
      </c>
      <c r="I43" s="8"/>
      <c r="J43" s="23"/>
      <c r="K43" s="23"/>
      <c r="L43" s="8"/>
      <c r="M43" s="46">
        <f>(4*I43+IF(ISTEXT(L43)=TRUE,2,0))*IF(COUNTIF(NegQualTaken,"Infirm")&gt;0,2,1)</f>
        <v>0</v>
      </c>
    </row>
    <row r="44" spans="1:13" ht="10.5">
      <c r="A44" s="38" t="s">
        <v>66</v>
      </c>
      <c r="B44" s="39"/>
      <c r="C44" s="41"/>
      <c r="D44" s="41"/>
      <c r="E44" s="42" t="s">
        <v>39</v>
      </c>
      <c r="F44" s="43" t="s">
        <v>5</v>
      </c>
      <c r="H44" s="44" t="s">
        <v>67</v>
      </c>
      <c r="I44" s="8"/>
      <c r="J44" s="23"/>
      <c r="K44" s="23"/>
      <c r="L44" s="8"/>
      <c r="M44" s="46">
        <f>(4*I44+IF(ISTEXT(L44)=TRUE,2,0))*IF(COUNTIF(NegQualTaken,"Infirm")&gt;0,2,1)</f>
        <v>0</v>
      </c>
    </row>
    <row r="45" spans="1:13" ht="10.5">
      <c r="A45" s="44" t="s">
        <v>68</v>
      </c>
      <c r="B45" s="8"/>
      <c r="C45" s="45"/>
      <c r="D45" s="23"/>
      <c r="E45" s="8"/>
      <c r="F45" s="46">
        <f>4*B45+IF(ISTEXT(E45)=TRUE,2,0)</f>
        <v>0</v>
      </c>
      <c r="H45" s="47" t="s">
        <v>69</v>
      </c>
      <c r="I45" s="48"/>
      <c r="J45" s="50"/>
      <c r="K45" s="50"/>
      <c r="L45" s="48"/>
      <c r="M45" s="51">
        <f>(4*I45+IF(ISTEXT(L45)=TRUE,2,0))*IF(COUNTIF(NegQualTaken,"Infirm")&gt;0,2,1)</f>
        <v>0</v>
      </c>
    </row>
    <row r="46" spans="1:12" ht="10.5">
      <c r="A46" s="44" t="s">
        <v>70</v>
      </c>
      <c r="B46" s="8"/>
      <c r="C46" s="45"/>
      <c r="D46" s="23"/>
      <c r="E46" s="8"/>
      <c r="F46" s="46">
        <f>4*B46+IF(ISTEXT(E46)=TRUE,2,0)</f>
        <v>0</v>
      </c>
      <c r="I46" s="13"/>
      <c r="L46" s="13"/>
    </row>
    <row r="47" spans="1:13" ht="10.5">
      <c r="A47" s="44" t="s">
        <v>71</v>
      </c>
      <c r="B47" s="8"/>
      <c r="C47" s="45"/>
      <c r="D47" s="23"/>
      <c r="E47" s="8"/>
      <c r="F47" s="46">
        <f>4*B47+IF(ISTEXT(E47)=TRUE,2,0)</f>
        <v>0</v>
      </c>
      <c r="H47" s="38" t="s">
        <v>72</v>
      </c>
      <c r="I47" s="39"/>
      <c r="J47" s="41"/>
      <c r="K47" s="41"/>
      <c r="L47" s="42" t="s">
        <v>39</v>
      </c>
      <c r="M47" s="43" t="s">
        <v>5</v>
      </c>
    </row>
    <row r="48" spans="1:13" ht="10.5">
      <c r="A48" s="44" t="s">
        <v>73</v>
      </c>
      <c r="B48" s="8"/>
      <c r="C48" s="45"/>
      <c r="D48" s="23"/>
      <c r="E48" s="8"/>
      <c r="F48" s="46">
        <f>4*B48+IF(ISTEXT(E48)=TRUE,2,0)</f>
        <v>0</v>
      </c>
      <c r="H48" s="44" t="s">
        <v>74</v>
      </c>
      <c r="I48" s="8"/>
      <c r="J48" s="23"/>
      <c r="K48" s="23"/>
      <c r="L48" s="8"/>
      <c r="M48" s="46">
        <f>4*I48+IF(ISTEXT(L48)=TRUE,2,0)</f>
        <v>0</v>
      </c>
    </row>
    <row r="49" spans="1:13" ht="10.5">
      <c r="A49" s="44" t="s">
        <v>75</v>
      </c>
      <c r="B49" s="8"/>
      <c r="C49" s="45"/>
      <c r="D49" s="23"/>
      <c r="E49" s="8"/>
      <c r="F49" s="46">
        <f>4*B49+IF(ISTEXT(E49)=TRUE,2,0)</f>
        <v>0</v>
      </c>
      <c r="H49" s="44" t="s">
        <v>76</v>
      </c>
      <c r="I49" s="8"/>
      <c r="J49" s="23"/>
      <c r="K49" s="23"/>
      <c r="L49" s="8"/>
      <c r="M49" s="46">
        <f>4*I49+IF(ISTEXT(L49)=TRUE,2,0)</f>
        <v>0</v>
      </c>
    </row>
    <row r="50" spans="1:13" ht="10.5">
      <c r="A50" s="44" t="s">
        <v>77</v>
      </c>
      <c r="B50" s="8"/>
      <c r="C50" s="45"/>
      <c r="D50" s="23"/>
      <c r="E50" s="8"/>
      <c r="F50" s="46">
        <f>4*B50+IF(ISTEXT(E50)=TRUE,2,0)</f>
        <v>0</v>
      </c>
      <c r="H50" s="44" t="s">
        <v>78</v>
      </c>
      <c r="I50" s="8"/>
      <c r="J50" s="23"/>
      <c r="K50" s="23"/>
      <c r="L50" s="8"/>
      <c r="M50" s="46">
        <f>4*I50+IF(ISTEXT(L50)=TRUE,2,0)</f>
        <v>0</v>
      </c>
    </row>
    <row r="51" spans="1:13" ht="10.5">
      <c r="A51" s="44" t="s">
        <v>79</v>
      </c>
      <c r="B51" s="8"/>
      <c r="C51" s="45"/>
      <c r="D51" s="23"/>
      <c r="E51" s="8"/>
      <c r="F51" s="46">
        <f>4*B51+IF(ISTEXT(E51)=TRUE,2,0)</f>
        <v>0</v>
      </c>
      <c r="H51" s="44" t="s">
        <v>80</v>
      </c>
      <c r="I51" s="8"/>
      <c r="J51" s="23"/>
      <c r="K51" s="23"/>
      <c r="L51" s="8"/>
      <c r="M51" s="46">
        <f>4*I51+IF(ISTEXT(L51)=TRUE,2,0)</f>
        <v>0</v>
      </c>
    </row>
    <row r="52" spans="1:13" ht="10.5">
      <c r="A52" s="47" t="s">
        <v>81</v>
      </c>
      <c r="B52" s="48"/>
      <c r="C52" s="49"/>
      <c r="D52" s="50"/>
      <c r="E52" s="48"/>
      <c r="F52" s="51">
        <f>4*B52+IF(ISTEXT(E52)=TRUE,2,0)</f>
        <v>0</v>
      </c>
      <c r="H52" s="44" t="s">
        <v>82</v>
      </c>
      <c r="I52" s="8"/>
      <c r="J52" s="23"/>
      <c r="K52" s="23"/>
      <c r="L52" s="8"/>
      <c r="M52" s="46">
        <f>4*I52+IF(ISTEXT(L52)=TRUE,2,0)</f>
        <v>0</v>
      </c>
    </row>
    <row r="53" spans="2:13" ht="10.5">
      <c r="B53" s="13"/>
      <c r="H53" s="44" t="s">
        <v>83</v>
      </c>
      <c r="I53" s="8"/>
      <c r="J53" s="23"/>
      <c r="K53" s="23"/>
      <c r="L53" s="8"/>
      <c r="M53" s="46">
        <f>4*I53+IF(ISTEXT(L53)=TRUE,2,0)</f>
        <v>0</v>
      </c>
    </row>
    <row r="54" spans="1:13" ht="10.5">
      <c r="A54" s="38" t="s">
        <v>84</v>
      </c>
      <c r="B54" s="39"/>
      <c r="C54" s="41"/>
      <c r="D54" s="41"/>
      <c r="E54" s="42" t="s">
        <v>39</v>
      </c>
      <c r="F54" s="43" t="s">
        <v>5</v>
      </c>
      <c r="H54" s="44" t="s">
        <v>85</v>
      </c>
      <c r="I54" s="8"/>
      <c r="J54" s="23"/>
      <c r="K54" s="23"/>
      <c r="L54" s="8"/>
      <c r="M54" s="46">
        <f>4*I54+IF(ISTEXT(L54)=TRUE,2,0)</f>
        <v>0</v>
      </c>
    </row>
    <row r="55" spans="1:13" ht="10.5">
      <c r="A55" s="44" t="s">
        <v>86</v>
      </c>
      <c r="B55" s="8"/>
      <c r="C55" s="23"/>
      <c r="D55" s="23"/>
      <c r="E55" s="8"/>
      <c r="F55" s="46">
        <f>4*B55+IF(ISTEXT(E55)=TRUE,2,0)</f>
        <v>0</v>
      </c>
      <c r="H55" s="44" t="s">
        <v>87</v>
      </c>
      <c r="I55" s="8"/>
      <c r="J55" s="23"/>
      <c r="K55" s="23"/>
      <c r="L55" s="8"/>
      <c r="M55" s="46">
        <f>4*I55+IF(ISTEXT(L55)=TRUE,2,0)</f>
        <v>0</v>
      </c>
    </row>
    <row r="56" spans="1:13" ht="10.5">
      <c r="A56" s="44" t="s">
        <v>88</v>
      </c>
      <c r="B56" s="8"/>
      <c r="C56" s="23"/>
      <c r="D56" s="23"/>
      <c r="E56" s="8"/>
      <c r="F56" s="46">
        <f>4*B56+IF(ISTEXT(E56)=TRUE,2,0)</f>
        <v>0</v>
      </c>
      <c r="H56" s="44" t="s">
        <v>89</v>
      </c>
      <c r="I56" s="8"/>
      <c r="J56" s="23"/>
      <c r="K56" s="23"/>
      <c r="L56" s="8"/>
      <c r="M56" s="46">
        <f>4*I56+IF(ISTEXT(L56)=TRUE,2,0)</f>
        <v>0</v>
      </c>
    </row>
    <row r="57" spans="1:13" ht="10.5">
      <c r="A57" s="47" t="s">
        <v>90</v>
      </c>
      <c r="B57" s="48"/>
      <c r="C57" s="50"/>
      <c r="D57" s="50"/>
      <c r="E57" s="48"/>
      <c r="F57" s="51">
        <f>4*B57+IF(ISTEXT(E57)=TRUE,2,0)</f>
        <v>0</v>
      </c>
      <c r="H57" s="44" t="s">
        <v>91</v>
      </c>
      <c r="I57" s="8"/>
      <c r="J57" s="23"/>
      <c r="K57" s="23"/>
      <c r="L57" s="8"/>
      <c r="M57" s="46">
        <f>4*I57+IF(ISTEXT(L57)=TRUE,2,0)</f>
        <v>0</v>
      </c>
    </row>
    <row r="58" spans="1:13" ht="10.5">
      <c r="A58" s="7"/>
      <c r="B58" s="13"/>
      <c r="H58" s="44" t="s">
        <v>92</v>
      </c>
      <c r="I58" s="8"/>
      <c r="J58" s="23"/>
      <c r="K58" s="23"/>
      <c r="L58" s="8"/>
      <c r="M58" s="46">
        <f>4*I58+IF(ISTEXT(L58)=TRUE,2,0)</f>
        <v>0</v>
      </c>
    </row>
    <row r="59" spans="1:13" ht="10.5">
      <c r="A59" s="38" t="s">
        <v>93</v>
      </c>
      <c r="B59" s="39"/>
      <c r="C59" s="41"/>
      <c r="D59" s="41"/>
      <c r="E59" s="42" t="s">
        <v>39</v>
      </c>
      <c r="F59" s="43" t="s">
        <v>5</v>
      </c>
      <c r="H59" s="44" t="s">
        <v>94</v>
      </c>
      <c r="I59" s="8"/>
      <c r="J59" s="23"/>
      <c r="K59" s="23"/>
      <c r="L59" s="8"/>
      <c r="M59" s="46">
        <f>4*I59+IF(ISTEXT(L59)=TRUE,2,0)</f>
        <v>0</v>
      </c>
    </row>
    <row r="60" spans="1:13" ht="10.5">
      <c r="A60" s="44" t="s">
        <v>95</v>
      </c>
      <c r="B60" s="8"/>
      <c r="C60" s="23"/>
      <c r="D60" s="23"/>
      <c r="E60" s="8"/>
      <c r="F60" s="46">
        <f>(4*B60+IF(ISTEXT(E60)=TRUE,2,0))*IF(COUNTIF(NegQualTaken,"Uncouth")&gt;0,2,1)</f>
        <v>0</v>
      </c>
      <c r="H60" s="44" t="s">
        <v>96</v>
      </c>
      <c r="I60" s="8"/>
      <c r="J60" s="23"/>
      <c r="K60" s="23"/>
      <c r="L60" s="8"/>
      <c r="M60" s="46">
        <f>4*I60+IF(ISTEXT(L60)=TRUE,2,0)</f>
        <v>0</v>
      </c>
    </row>
    <row r="61" spans="1:13" ht="10.5">
      <c r="A61" s="44" t="s">
        <v>97</v>
      </c>
      <c r="B61" s="8"/>
      <c r="C61" s="23"/>
      <c r="D61" s="23"/>
      <c r="E61" s="8"/>
      <c r="F61" s="46">
        <f>(4*B61+IF(ISTEXT(E61)=TRUE,2,0))*IF(COUNTIF(NegQualTaken,"Uncouth")&gt;0,2,1)</f>
        <v>0</v>
      </c>
      <c r="H61" s="44" t="s">
        <v>98</v>
      </c>
      <c r="I61" s="8"/>
      <c r="J61" s="23"/>
      <c r="K61" s="23"/>
      <c r="L61" s="8"/>
      <c r="M61" s="46">
        <f>4*I61+IF(ISTEXT(L61)=TRUE,2,0)</f>
        <v>0</v>
      </c>
    </row>
    <row r="62" spans="1:13" ht="10.5">
      <c r="A62" s="44" t="s">
        <v>99</v>
      </c>
      <c r="B62" s="8"/>
      <c r="C62" s="23"/>
      <c r="D62" s="23"/>
      <c r="E62" s="8"/>
      <c r="F62" s="46">
        <f>(4*B62+IF(ISTEXT(E62)=TRUE,2,0))*IF(COUNTIF(NegQualTaken,"Uncouth")&gt;0,2,1)</f>
        <v>0</v>
      </c>
      <c r="H62" s="44" t="s">
        <v>100</v>
      </c>
      <c r="I62" s="8"/>
      <c r="J62" s="23"/>
      <c r="K62" s="23"/>
      <c r="L62" s="8"/>
      <c r="M62" s="46">
        <f>4*I62+IF(ISTEXT(L62)=TRUE,2,0)</f>
        <v>0</v>
      </c>
    </row>
    <row r="63" spans="1:13" ht="10.5">
      <c r="A63" s="44" t="s">
        <v>101</v>
      </c>
      <c r="B63" s="8"/>
      <c r="C63" s="23"/>
      <c r="D63" s="23"/>
      <c r="E63" s="8"/>
      <c r="F63" s="46">
        <f>(4*B63+IF(ISTEXT(E63)=TRUE,2,0))*IF(COUNTIF(NegQualTaken,"Uncouth")&gt;0,2,1)</f>
        <v>0</v>
      </c>
      <c r="H63" s="44" t="s">
        <v>102</v>
      </c>
      <c r="I63" s="8"/>
      <c r="J63" s="23"/>
      <c r="K63" s="23"/>
      <c r="L63" s="8"/>
      <c r="M63" s="46">
        <f>4*I63+IF(ISTEXT(L63)=TRUE,2,0)</f>
        <v>0</v>
      </c>
    </row>
    <row r="64" spans="1:13" ht="10.5">
      <c r="A64" s="44" t="s">
        <v>103</v>
      </c>
      <c r="B64" s="8"/>
      <c r="C64" s="23"/>
      <c r="D64" s="23"/>
      <c r="E64" s="8"/>
      <c r="F64" s="46">
        <f>(4*B64+IF(ISTEXT(E64)=TRUE,2,0))*IF(COUNTIF(NegQualTaken,"Uncouth")&gt;0,2,1)</f>
        <v>0</v>
      </c>
      <c r="H64" s="44" t="s">
        <v>104</v>
      </c>
      <c r="I64" s="8"/>
      <c r="J64" s="23"/>
      <c r="K64" s="23"/>
      <c r="L64" s="8"/>
      <c r="M64" s="46">
        <f>4*I64+IF(ISTEXT(L64)=TRUE,2,0)</f>
        <v>0</v>
      </c>
    </row>
    <row r="65" spans="1:13" ht="10.5">
      <c r="A65" s="47" t="s">
        <v>105</v>
      </c>
      <c r="B65" s="48"/>
      <c r="C65" s="50"/>
      <c r="D65" s="50"/>
      <c r="E65" s="48"/>
      <c r="F65" s="51">
        <f>(4*B65+IF(ISTEXT(E65)=TRUE,2,0))*IF(COUNTIF(NegQualTaken,"Uncouth")&gt;0,2,1)</f>
        <v>0</v>
      </c>
      <c r="H65" s="44" t="s">
        <v>106</v>
      </c>
      <c r="I65" s="8"/>
      <c r="J65" s="23"/>
      <c r="K65" s="23"/>
      <c r="L65" s="8"/>
      <c r="M65" s="46">
        <f>4*I65+IF(ISTEXT(L65)=TRUE,2,0)</f>
        <v>0</v>
      </c>
    </row>
    <row r="66" spans="2:13" ht="10.5">
      <c r="B66" s="13"/>
      <c r="H66" s="47" t="s">
        <v>107</v>
      </c>
      <c r="I66" s="48"/>
      <c r="J66" s="50"/>
      <c r="K66" s="50"/>
      <c r="L66" s="48"/>
      <c r="M66" s="51">
        <f>4*I66+IF(ISTEXT(L66)=TRUE,2,0)</f>
        <v>0</v>
      </c>
    </row>
    <row r="67" spans="1:6" ht="10.5">
      <c r="A67" s="38" t="s">
        <v>108</v>
      </c>
      <c r="B67" s="39"/>
      <c r="C67" s="41"/>
      <c r="D67" s="41"/>
      <c r="E67" s="42" t="s">
        <v>39</v>
      </c>
      <c r="F67" s="43" t="s">
        <v>5</v>
      </c>
    </row>
    <row r="68" spans="1:9" ht="10.5">
      <c r="A68" s="44" t="s">
        <v>109</v>
      </c>
      <c r="B68" s="8"/>
      <c r="C68" s="23"/>
      <c r="D68" s="23"/>
      <c r="E68" s="8"/>
      <c r="F68" s="46">
        <f>4*B68+IF(ISTEXT(E68)=TRUE,2,0)</f>
        <v>0</v>
      </c>
      <c r="H68" s="35" t="s">
        <v>36</v>
      </c>
      <c r="I68" s="52">
        <f>SUM(F31:F42)+SUM(F45:F52)+SUM(F55:F57)+SUM(F60:F65)+SUM(F68:F74)+SUM(M31:M45)+SUM(M48:M66)</f>
        <v>12</v>
      </c>
    </row>
    <row r="69" spans="1:6" ht="10.5">
      <c r="A69" s="44" t="s">
        <v>110</v>
      </c>
      <c r="B69" s="8"/>
      <c r="C69" s="23"/>
      <c r="D69" s="23"/>
      <c r="E69" s="8"/>
      <c r="F69" s="46">
        <f>4*B69+IF(ISTEXT(E69)=TRUE,2,0)</f>
        <v>0</v>
      </c>
    </row>
    <row r="70" spans="1:8" ht="10.5">
      <c r="A70" s="44" t="s">
        <v>111</v>
      </c>
      <c r="B70" s="8"/>
      <c r="C70" s="23"/>
      <c r="D70" s="23"/>
      <c r="E70" s="8"/>
      <c r="F70" s="46">
        <f>4*B70+IF(ISTEXT(E70)=TRUE,2,0)</f>
        <v>0</v>
      </c>
      <c r="H70" s="4" t="s">
        <v>112</v>
      </c>
    </row>
    <row r="71" spans="1:27" ht="10.5">
      <c r="A71" s="44" t="s">
        <v>113</v>
      </c>
      <c r="B71" s="8"/>
      <c r="C71" s="23"/>
      <c r="D71" s="23"/>
      <c r="E71" s="8"/>
      <c r="F71" s="46">
        <f>4*B71+IF(ISTEXT(E71)=TRUE,2,0)</f>
        <v>0</v>
      </c>
      <c r="H71" s="8" t="s">
        <v>114</v>
      </c>
      <c r="I71" s="8">
        <v>4</v>
      </c>
      <c r="J71" s="53">
        <f>I71*10</f>
        <v>40</v>
      </c>
      <c r="L71" s="1">
        <f>""</f>
      </c>
      <c r="AA71" s="1">
        <f>IF(H71="Sorcery Skill Group",1,0)*I71</f>
        <v>0</v>
      </c>
    </row>
    <row r="72" spans="1:27" ht="10.5">
      <c r="A72" s="44" t="s">
        <v>115</v>
      </c>
      <c r="B72" s="8"/>
      <c r="C72" s="23"/>
      <c r="D72" s="23"/>
      <c r="E72" s="8"/>
      <c r="F72" s="46">
        <f>4*B72+IF(ISTEXT(E72)=TRUE,2,0)</f>
        <v>0</v>
      </c>
      <c r="H72" s="8" t="s">
        <v>116</v>
      </c>
      <c r="I72" s="8">
        <v>4</v>
      </c>
      <c r="J72" s="53">
        <f>I72*10</f>
        <v>40</v>
      </c>
      <c r="L72" s="1">
        <f>""</f>
      </c>
      <c r="AA72" s="1">
        <f>IF(H72="Sorcery Skill Group",1,0)*I72</f>
        <v>0</v>
      </c>
    </row>
    <row r="73" spans="1:27" ht="10.5">
      <c r="A73" s="44" t="s">
        <v>117</v>
      </c>
      <c r="B73" s="8"/>
      <c r="C73" s="23"/>
      <c r="D73" s="23"/>
      <c r="E73" s="8"/>
      <c r="F73" s="46">
        <f>4*B73+IF(ISTEXT(E73)=TRUE,2,0)</f>
        <v>0</v>
      </c>
      <c r="H73" s="8"/>
      <c r="I73" s="8"/>
      <c r="J73" s="53">
        <f>I73*10</f>
        <v>0</v>
      </c>
      <c r="L73" s="1">
        <f>""</f>
      </c>
      <c r="AA73" s="1">
        <f>IF(H73="Sorcery Skill Group",1,0)*I73</f>
        <v>0</v>
      </c>
    </row>
    <row r="74" spans="1:27" ht="10.5">
      <c r="A74" s="47" t="s">
        <v>118</v>
      </c>
      <c r="B74" s="48"/>
      <c r="C74" s="50"/>
      <c r="D74" s="50"/>
      <c r="E74" s="48"/>
      <c r="F74" s="51">
        <f>4*B74+IF(ISTEXT(E74)=TRUE,2,0)</f>
        <v>0</v>
      </c>
      <c r="H74" s="8"/>
      <c r="I74" s="54"/>
      <c r="J74" s="53">
        <f>I74*10</f>
        <v>0</v>
      </c>
      <c r="L74" s="1">
        <f>""</f>
      </c>
      <c r="AA74" s="1">
        <f>IF(H74="Sorcery Skill Group",1,0)*I74</f>
        <v>0</v>
      </c>
    </row>
    <row r="75" spans="6:27" ht="10.5">
      <c r="F75" s="13"/>
      <c r="I75" s="35" t="s">
        <v>36</v>
      </c>
      <c r="J75" s="55">
        <f>SUM(J71:J74)</f>
        <v>80</v>
      </c>
      <c r="AA75" s="1">
        <f>MAX(AA71:AA74)</f>
        <v>0</v>
      </c>
    </row>
    <row r="77" spans="1:30" ht="10.5">
      <c r="A77" s="4" t="s">
        <v>119</v>
      </c>
      <c r="D77" s="10">
        <f>MAX(0,(D17+D18)*3-SUM(B81:B109))</f>
        <v>15</v>
      </c>
      <c r="H77" s="4" t="s">
        <v>120</v>
      </c>
      <c r="I77" s="10" t="s">
        <v>5</v>
      </c>
      <c r="AA77" s="1" t="s">
        <v>34</v>
      </c>
      <c r="AB77" s="1" t="s">
        <v>121</v>
      </c>
      <c r="AC77" s="1" t="s">
        <v>122</v>
      </c>
      <c r="AD77" s="1" t="s">
        <v>123</v>
      </c>
    </row>
    <row r="78" spans="8:30" ht="10.5">
      <c r="H78" s="8"/>
      <c r="I78" s="13">
        <f>IF(ISERROR(VLOOKUP(H78,PosQualityTable,2,FALSE))=TRUE,"",VLOOKUP(H78,PosQualityTable,2,FALSE))</f>
      </c>
      <c r="AA78" s="1">
        <f>IF(H78="Magician",1,0)</f>
        <v>0</v>
      </c>
      <c r="AB78" s="1">
        <f>IF(H78="Adept",1,0)</f>
        <v>0</v>
      </c>
      <c r="AC78" s="1">
        <f>IF(H78="Mystic Adept",1,0)</f>
        <v>0</v>
      </c>
      <c r="AD78" s="1">
        <f>IF(H78="Technomancer",1,0)</f>
        <v>0</v>
      </c>
    </row>
    <row r="79" spans="1:30" ht="10.5">
      <c r="A79" s="37" t="s">
        <v>124</v>
      </c>
      <c r="H79" s="8"/>
      <c r="I79" s="13">
        <f>IF(ISERROR(VLOOKUP(H79,PosQualityTable,2,FALSE))=TRUE,"",VLOOKUP(H79,PosQualityTable,2,FALSE))</f>
      </c>
      <c r="AA79" s="1">
        <f>IF(H79="Magician",1,0)</f>
        <v>0</v>
      </c>
      <c r="AB79" s="1">
        <f>IF(H79="Adept",1,0)</f>
        <v>0</v>
      </c>
      <c r="AC79" s="1">
        <f>IF(H79="Mystic Adept",1,0)</f>
        <v>0</v>
      </c>
      <c r="AD79" s="1">
        <f>IF(H79="Technomancer",1,0)</f>
        <v>0</v>
      </c>
    </row>
    <row r="80" spans="1:30" ht="10.5">
      <c r="A80" s="1" t="s">
        <v>125</v>
      </c>
      <c r="H80" s="8"/>
      <c r="I80" s="13">
        <f>IF(ISERROR(VLOOKUP(H80,PosQualityTable,2,FALSE))=TRUE,"",VLOOKUP(H80,PosQualityTable,2,FALSE))</f>
      </c>
      <c r="AA80" s="1">
        <f>IF(H80="Magician",1,0)</f>
        <v>0</v>
      </c>
      <c r="AB80" s="1">
        <f>IF(H80="Adept",1,0)</f>
        <v>0</v>
      </c>
      <c r="AC80" s="1">
        <f>IF(H80="Mystic Adept",1,0)</f>
        <v>0</v>
      </c>
      <c r="AD80" s="1">
        <f>IF(H80="Technomancer",1,0)</f>
        <v>0</v>
      </c>
    </row>
    <row r="81" spans="1:30" ht="10.5">
      <c r="A81" s="56"/>
      <c r="B81" s="8"/>
      <c r="C81" s="53">
        <f>2*B81</f>
        <v>0</v>
      </c>
      <c r="H81" s="8"/>
      <c r="I81" s="13">
        <f>IF(ISERROR(VLOOKUP(H81,PosQualityTable,2,FALSE))=TRUE,"",VLOOKUP(H81,PosQualityTable,2,FALSE))</f>
      </c>
      <c r="AA81" s="1">
        <f>IF(H81="Magician",1,0)</f>
        <v>0</v>
      </c>
      <c r="AB81" s="1">
        <f>IF(H81="Adept",1,0)</f>
        <v>0</v>
      </c>
      <c r="AC81" s="1">
        <f>IF(H81="Mystic Adept",1,0)</f>
        <v>0</v>
      </c>
      <c r="AD81" s="1">
        <f>IF(H81="Technomancer",1,0)</f>
        <v>0</v>
      </c>
    </row>
    <row r="82" spans="1:30" ht="10.5">
      <c r="A82" s="56"/>
      <c r="B82" s="8"/>
      <c r="C82" s="53">
        <f>2*B82</f>
        <v>0</v>
      </c>
      <c r="H82" s="8"/>
      <c r="I82" s="13">
        <f>IF(ISERROR(VLOOKUP(H82,PosQualityTable,2,FALSE))=TRUE,"",VLOOKUP(H82,PosQualityTable,2,FALSE))</f>
      </c>
      <c r="AA82" s="1">
        <f>IF(H82="Magician",1,0)</f>
        <v>0</v>
      </c>
      <c r="AB82" s="1">
        <f>IF(H82="Adept",1,0)</f>
        <v>0</v>
      </c>
      <c r="AC82" s="1">
        <f>IF(H82="Mystic Adept",1,0)</f>
        <v>0</v>
      </c>
      <c r="AD82" s="1">
        <f>IF(H82="Technomancer",1,0)</f>
        <v>0</v>
      </c>
    </row>
    <row r="83" spans="1:30" ht="10.5">
      <c r="A83" s="56"/>
      <c r="B83" s="8"/>
      <c r="C83" s="53">
        <f>2*B83</f>
        <v>0</v>
      </c>
      <c r="I83" s="13"/>
      <c r="AC83" s="1">
        <f>MIN(1,SUM(AA78:AC82))</f>
        <v>0</v>
      </c>
      <c r="AD83" s="1">
        <f>MIN(1,SUM(AD78:AD82))</f>
        <v>0</v>
      </c>
    </row>
    <row r="84" spans="1:9" ht="10.5">
      <c r="A84" s="56"/>
      <c r="B84" s="8"/>
      <c r="C84" s="53">
        <f>2*B84</f>
        <v>0</v>
      </c>
      <c r="H84" s="4" t="s">
        <v>126</v>
      </c>
      <c r="I84" s="13"/>
    </row>
    <row r="85" spans="1:9" ht="10.5">
      <c r="A85" s="56"/>
      <c r="B85" s="8"/>
      <c r="C85" s="53">
        <f>2*B85</f>
        <v>0</v>
      </c>
      <c r="H85" s="8"/>
      <c r="I85" s="13">
        <f>IF(ISERROR(VLOOKUP(H85,NegQualityTable,2,FALSE))=TRUE,"",VLOOKUP(H85,NegQualityTable,2,FALSE))</f>
      </c>
    </row>
    <row r="86" spans="1:9" ht="10.5">
      <c r="A86" s="1" t="s">
        <v>127</v>
      </c>
      <c r="B86" s="13"/>
      <c r="C86" s="53"/>
      <c r="H86" s="8"/>
      <c r="I86" s="13">
        <f>IF(ISERROR(VLOOKUP(H86,NegQualityTable,2,FALSE))=TRUE,"",VLOOKUP(H86,NegQualityTable,2,FALSE))</f>
      </c>
    </row>
    <row r="87" spans="1:9" ht="10.5">
      <c r="A87" s="56"/>
      <c r="B87" s="8"/>
      <c r="C87" s="53">
        <f>2*B87</f>
        <v>0</v>
      </c>
      <c r="H87" s="8"/>
      <c r="I87" s="13">
        <f>IF(ISERROR(VLOOKUP(H87,NegQualityTable,2,FALSE))=TRUE,"",VLOOKUP(H87,NegQualityTable,2,FALSE))</f>
      </c>
    </row>
    <row r="88" spans="1:9" ht="10.5">
      <c r="A88" s="56"/>
      <c r="B88" s="8"/>
      <c r="C88" s="53">
        <f>2*B88</f>
        <v>0</v>
      </c>
      <c r="H88" s="8"/>
      <c r="I88" s="13">
        <f>IF(ISERROR(VLOOKUP(H88,NegQualityTable,2,FALSE))=TRUE,"",VLOOKUP(H88,NegQualityTable,2,FALSE))</f>
      </c>
    </row>
    <row r="89" spans="1:9" ht="10.5">
      <c r="A89" s="56"/>
      <c r="B89" s="8"/>
      <c r="C89" s="53">
        <f>2*B89</f>
        <v>0</v>
      </c>
      <c r="H89" s="54"/>
      <c r="I89" s="13">
        <f>IF(ISERROR(VLOOKUP(H89,NegQualityTable,2,FALSE))=TRUE,"",VLOOKUP(H89,NegQualityTable,2,FALSE))</f>
      </c>
    </row>
    <row r="90" spans="1:9" ht="10.5">
      <c r="A90" s="56"/>
      <c r="B90" s="8"/>
      <c r="C90" s="53">
        <f>2*B90</f>
        <v>0</v>
      </c>
      <c r="H90" s="35" t="s">
        <v>36</v>
      </c>
      <c r="I90" s="55">
        <f>SUM(I78:I89)</f>
        <v>0</v>
      </c>
    </row>
    <row r="91" spans="1:3" ht="10.5">
      <c r="A91" s="56"/>
      <c r="B91" s="8"/>
      <c r="C91" s="53">
        <f>2*B91</f>
        <v>0</v>
      </c>
    </row>
    <row r="92" spans="1:11" ht="10.5">
      <c r="A92" s="1" t="s">
        <v>128</v>
      </c>
      <c r="B92" s="13"/>
      <c r="C92" s="53"/>
      <c r="E92" s="4"/>
      <c r="H92" s="4" t="s">
        <v>129</v>
      </c>
      <c r="I92" s="10" t="s">
        <v>130</v>
      </c>
      <c r="J92" s="10" t="s">
        <v>131</v>
      </c>
      <c r="K92" s="10" t="s">
        <v>5</v>
      </c>
    </row>
    <row r="93" spans="1:11" ht="10.5">
      <c r="A93" s="56"/>
      <c r="B93" s="8"/>
      <c r="C93" s="53"/>
      <c r="H93" s="8" t="s">
        <v>132</v>
      </c>
      <c r="I93" s="8">
        <v>6</v>
      </c>
      <c r="J93" s="8">
        <v>5</v>
      </c>
      <c r="K93" s="53">
        <f>SUM(I93:J93)</f>
        <v>11</v>
      </c>
    </row>
    <row r="94" spans="1:11" ht="10.5">
      <c r="A94" s="56"/>
      <c r="B94" s="8"/>
      <c r="C94" s="53"/>
      <c r="H94" s="8"/>
      <c r="I94" s="8"/>
      <c r="J94" s="8"/>
      <c r="K94" s="53">
        <f>SUM(I94:J94)</f>
        <v>0</v>
      </c>
    </row>
    <row r="95" spans="1:11" ht="10.5">
      <c r="A95" s="56"/>
      <c r="B95" s="8"/>
      <c r="C95" s="53"/>
      <c r="H95" s="8"/>
      <c r="I95" s="8"/>
      <c r="J95" s="8"/>
      <c r="K95" s="53">
        <f>SUM(I95:J95)</f>
        <v>0</v>
      </c>
    </row>
    <row r="96" spans="1:11" ht="10.5">
      <c r="A96" s="56"/>
      <c r="B96" s="8"/>
      <c r="C96" s="53"/>
      <c r="H96" s="8"/>
      <c r="I96" s="8"/>
      <c r="J96" s="8"/>
      <c r="K96" s="53">
        <f>SUM(I96:J96)</f>
        <v>0</v>
      </c>
    </row>
    <row r="97" spans="1:11" ht="10.5">
      <c r="A97" s="56"/>
      <c r="B97" s="8"/>
      <c r="C97" s="53"/>
      <c r="H97" s="8"/>
      <c r="I97" s="8"/>
      <c r="J97" s="8"/>
      <c r="K97" s="53">
        <f>SUM(I97:J97)</f>
        <v>0</v>
      </c>
    </row>
    <row r="98" spans="1:11" ht="10.5">
      <c r="A98" s="1" t="s">
        <v>133</v>
      </c>
      <c r="B98" s="13"/>
      <c r="C98" s="53"/>
      <c r="H98" s="8"/>
      <c r="I98" s="8"/>
      <c r="J98" s="54"/>
      <c r="K98" s="53">
        <f>SUM(I98:J98)</f>
        <v>0</v>
      </c>
    </row>
    <row r="99" spans="1:11" ht="10.5">
      <c r="A99" s="56"/>
      <c r="B99" s="8"/>
      <c r="C99" s="53"/>
      <c r="I99" s="57"/>
      <c r="J99" s="35" t="s">
        <v>36</v>
      </c>
      <c r="K99" s="55">
        <f>SUM(K93:K98)</f>
        <v>11</v>
      </c>
    </row>
    <row r="100" spans="1:3" ht="10.5">
      <c r="A100" s="56"/>
      <c r="B100" s="8"/>
      <c r="C100" s="53">
        <f>2*B100</f>
        <v>0</v>
      </c>
    </row>
    <row r="101" spans="1:3" ht="10.5">
      <c r="A101" s="56"/>
      <c r="B101" s="8"/>
      <c r="C101" s="53">
        <f>2*B101</f>
        <v>0</v>
      </c>
    </row>
    <row r="102" spans="1:3" ht="10.5">
      <c r="A102" s="56"/>
      <c r="B102" s="8"/>
      <c r="C102" s="53">
        <f>2*B102</f>
        <v>0</v>
      </c>
    </row>
    <row r="103" spans="1:3" ht="10.5">
      <c r="A103" s="56"/>
      <c r="B103" s="8"/>
      <c r="C103" s="53">
        <f>2*B103</f>
        <v>0</v>
      </c>
    </row>
    <row r="104" spans="1:3" ht="10.5">
      <c r="A104" s="1" t="s">
        <v>134</v>
      </c>
      <c r="B104" s="13"/>
      <c r="C104" s="53"/>
    </row>
    <row r="105" spans="1:3" ht="10.5">
      <c r="A105" s="56" t="s">
        <v>135</v>
      </c>
      <c r="B105" s="13" t="s">
        <v>136</v>
      </c>
      <c r="C105" s="53"/>
    </row>
    <row r="106" spans="1:3" ht="10.5">
      <c r="A106" s="56"/>
      <c r="B106" s="8"/>
      <c r="C106" s="53">
        <f>2*B106</f>
        <v>0</v>
      </c>
    </row>
    <row r="107" spans="1:3" ht="10.5">
      <c r="A107" s="56"/>
      <c r="B107" s="8"/>
      <c r="C107" s="53">
        <f>2*B107</f>
        <v>0</v>
      </c>
    </row>
    <row r="108" spans="1:3" ht="10.5">
      <c r="A108" s="56"/>
      <c r="B108" s="8"/>
      <c r="C108" s="53">
        <f>2*B108</f>
        <v>0</v>
      </c>
    </row>
    <row r="109" spans="1:3" ht="10.5">
      <c r="A109" s="56"/>
      <c r="B109" s="54"/>
      <c r="C109" s="53">
        <f>2*B109</f>
        <v>0</v>
      </c>
    </row>
    <row r="110" spans="2:3" ht="11.25" customHeight="1">
      <c r="B110" s="35" t="s">
        <v>36</v>
      </c>
      <c r="C110" s="55">
        <f>MAX(0,SUM(C81:C109)-((D17+D18)*6))</f>
        <v>0</v>
      </c>
    </row>
    <row r="112" spans="1:13" ht="19.5">
      <c r="A112" s="58" t="s">
        <v>137</v>
      </c>
      <c r="B112" s="59"/>
      <c r="C112" s="60"/>
      <c r="D112" s="61"/>
      <c r="E112" s="61"/>
      <c r="F112" s="61"/>
      <c r="G112" s="61"/>
      <c r="H112" s="61"/>
      <c r="I112" s="61"/>
      <c r="J112" s="61"/>
      <c r="K112" s="61"/>
      <c r="L112" s="61"/>
      <c r="M112" s="61"/>
    </row>
    <row r="114" spans="2:8" ht="10.5">
      <c r="B114" s="4" t="s">
        <v>138</v>
      </c>
      <c r="C114" s="62" t="s">
        <v>139</v>
      </c>
      <c r="D114" s="62"/>
      <c r="F114" s="9" t="s">
        <v>140</v>
      </c>
      <c r="G114" s="9"/>
      <c r="H114" s="9"/>
    </row>
    <row r="115" spans="1:8" ht="10.5">
      <c r="A115" s="7" t="s">
        <v>141</v>
      </c>
      <c r="B115" s="8">
        <v>117</v>
      </c>
      <c r="C115" s="63">
        <f>5000*B115</f>
        <v>585000</v>
      </c>
      <c r="D115" s="1" t="s">
        <v>142</v>
      </c>
      <c r="F115" s="64">
        <f>C115-(VLOOKUP(B117,LifestyleTable,5,FALSE)*C118)-B138-J148-B167-I167-C172-B177-I175-C207-H249-C254-L187-C313</f>
        <v>5</v>
      </c>
      <c r="G115" s="64"/>
      <c r="H115" s="64"/>
    </row>
    <row r="116" spans="6:8" ht="10.5">
      <c r="F116" s="64"/>
      <c r="G116" s="64"/>
      <c r="H116" s="64"/>
    </row>
    <row r="117" spans="1:8" ht="10.5">
      <c r="A117" s="7" t="s">
        <v>143</v>
      </c>
      <c r="B117" s="8" t="s">
        <v>144</v>
      </c>
      <c r="C117" s="8"/>
      <c r="F117" s="64"/>
      <c r="G117" s="64"/>
      <c r="H117" s="64"/>
    </row>
    <row r="118" spans="2:4" ht="10.5">
      <c r="B118" s="7" t="s">
        <v>145</v>
      </c>
      <c r="C118" s="8">
        <v>1</v>
      </c>
      <c r="D118" s="1" t="s">
        <v>146</v>
      </c>
    </row>
    <row r="120" spans="1:2" ht="10.5">
      <c r="A120" s="20" t="s">
        <v>147</v>
      </c>
      <c r="B120" s="4" t="str">
        <f>Tables!A264</f>
        <v>(3D6+0) x 50 ¥</v>
      </c>
    </row>
    <row r="122" spans="1:6" ht="10.5">
      <c r="A122" s="4" t="s">
        <v>148</v>
      </c>
      <c r="B122" s="10" t="s">
        <v>5</v>
      </c>
      <c r="C122" s="10" t="s">
        <v>149</v>
      </c>
      <c r="D122" s="13" t="s">
        <v>150</v>
      </c>
      <c r="E122" s="13" t="s">
        <v>151</v>
      </c>
      <c r="F122" s="13" t="s">
        <v>152</v>
      </c>
    </row>
    <row r="123" spans="1:6" ht="10.5">
      <c r="A123" s="8" t="s">
        <v>153</v>
      </c>
      <c r="B123" s="53">
        <f>IF(ISERROR(VLOOKUP(A123,MeleeWpnTable,6,FALSE))=TRUE,"",VLOOKUP(A123,MeleeWpnTable,6,FALSE))</f>
        <v>20</v>
      </c>
      <c r="C123" s="53">
        <f>IF(ISERROR(VLOOKUP(A123,MeleeWpnTable,5,FALSE))=TRUE,0,VLOOKUP(A123,MeleeWpnTable,5,FALSE))</f>
      </c>
      <c r="D123" s="13">
        <f>IF(ISERROR(VLOOKUP($A123,MeleeWpnTable,2,FALSE))=TRUE,"",VLOOKUP($A123,MeleeWpnTable,2,FALSE))</f>
        <v>0</v>
      </c>
      <c r="E123" s="13">
        <f>IF(ISERROR(VLOOKUP($A123,MeleeWpnTable,4,FALSE))=TRUE,"",VLOOKUP($A123,MeleeWpnTable,4,FALSE))</f>
      </c>
      <c r="F123" s="13" t="str">
        <f>IF(ISERROR(VLOOKUP($A123,MeleeWpnTable,3,FALSE))=TRUE,"",VLOOKUP($A123,MeleeWpnTable,3,FALSE))</f>
        <v>4P</v>
      </c>
    </row>
    <row r="124" spans="1:6" ht="10.5">
      <c r="A124" s="8"/>
      <c r="B124" s="53">
        <f>IF(ISERROR(VLOOKUP(A124,MeleeWpnTable,6,FALSE))=TRUE,"",VLOOKUP(A124,MeleeWpnTable,6,FALSE))</f>
      </c>
      <c r="C124" s="53">
        <f>IF(ISERROR(VLOOKUP(A124,MeleeWpnTable,5,FALSE))=TRUE,0,VLOOKUP(A124,MeleeWpnTable,5,FALSE))</f>
        <v>0</v>
      </c>
      <c r="D124" s="13">
        <f>IF(ISERROR(VLOOKUP($A124,MeleeWpnTable,2,FALSE))=TRUE,"",VLOOKUP($A124,MeleeWpnTable,2,FALSE))</f>
      </c>
      <c r="E124" s="13">
        <f>IF(ISERROR(VLOOKUP($A124,MeleeWpnTable,4,FALSE))=TRUE,"",VLOOKUP($A124,MeleeWpnTable,4,FALSE))</f>
      </c>
      <c r="F124" s="13">
        <f>IF(ISERROR(VLOOKUP($A124,MeleeWpnTable,3,FALSE))=TRUE,"",VLOOKUP($A124,MeleeWpnTable,3,FALSE))</f>
      </c>
    </row>
    <row r="125" spans="1:6" ht="10.5">
      <c r="A125" s="8"/>
      <c r="B125" s="53">
        <f>IF(ISERROR(VLOOKUP(A125,MeleeWpnTable,6,FALSE))=TRUE,"",VLOOKUP(A125,MeleeWpnTable,6,FALSE))</f>
      </c>
      <c r="C125" s="53">
        <f>IF(ISERROR(VLOOKUP(A125,MeleeWpnTable,5,FALSE))=TRUE,0,VLOOKUP(A125,MeleeWpnTable,5,FALSE))</f>
        <v>0</v>
      </c>
      <c r="D125" s="13">
        <f>IF(ISERROR(VLOOKUP($A125,MeleeWpnTable,2,FALSE))=TRUE,"",VLOOKUP($A125,MeleeWpnTable,2,FALSE))</f>
      </c>
      <c r="E125" s="13">
        <f>IF(ISERROR(VLOOKUP($A125,MeleeWpnTable,4,FALSE))=TRUE,"",VLOOKUP($A125,MeleeWpnTable,4,FALSE))</f>
      </c>
      <c r="F125" s="13">
        <f>IF(ISERROR(VLOOKUP($A125,MeleeWpnTable,3,FALSE))=TRUE,"",VLOOKUP($A125,MeleeWpnTable,3,FALSE))</f>
      </c>
    </row>
    <row r="126" spans="1:11" ht="10.5">
      <c r="A126" s="65"/>
      <c r="B126" s="66"/>
      <c r="I126" s="1">
        <f>IF(ISERROR(VLOOKUP($A126,MeleeWpnTable,2,FALSE))=TRUE,"",VLOOKUP($A126,MeleeWpnTable,2,FALSE))</f>
      </c>
      <c r="J126" s="1">
        <f>IF(ISERROR(VLOOKUP($A126,MeleeWpnTable,4,FALSE))=TRUE,"",VLOOKUP($A126,MeleeWpnTable,4,FALSE))</f>
      </c>
      <c r="K126" s="1">
        <f>IF(ISERROR(VLOOKUP($A126,MeleeWpnTable,3,FALSE))=TRUE,"",VLOOKUP($A126,MeleeWpnTable,3,FALSE))</f>
      </c>
    </row>
    <row r="127" spans="1:11" ht="10.5">
      <c r="A127" s="65"/>
      <c r="B127" s="66"/>
      <c r="C127" s="67"/>
      <c r="D127" s="67"/>
      <c r="E127" s="67"/>
      <c r="F127" s="67"/>
      <c r="G127" s="67"/>
      <c r="H127" s="67"/>
      <c r="I127" s="67"/>
      <c r="J127" s="67"/>
      <c r="K127" s="67"/>
    </row>
    <row r="128" ht="10.5">
      <c r="H128" s="4" t="s">
        <v>154</v>
      </c>
    </row>
    <row r="129" spans="1:17" ht="10.5">
      <c r="A129" s="4" t="s">
        <v>155</v>
      </c>
      <c r="B129" s="10" t="s">
        <v>5</v>
      </c>
      <c r="C129" s="10" t="s">
        <v>149</v>
      </c>
      <c r="E129" s="10" t="s">
        <v>156</v>
      </c>
      <c r="H129" s="10" t="s">
        <v>157</v>
      </c>
      <c r="I129" s="10" t="s">
        <v>158</v>
      </c>
      <c r="J129" s="10" t="s">
        <v>151</v>
      </c>
      <c r="K129" s="10" t="s">
        <v>159</v>
      </c>
      <c r="L129" s="10" t="s">
        <v>160</v>
      </c>
      <c r="M129" s="10" t="s">
        <v>161</v>
      </c>
      <c r="N129" s="1" t="s">
        <v>162</v>
      </c>
      <c r="O129" s="1" t="s">
        <v>163</v>
      </c>
      <c r="P129" s="1" t="s">
        <v>164</v>
      </c>
      <c r="Q129" s="1" t="s">
        <v>165</v>
      </c>
    </row>
    <row r="130" spans="1:17" ht="10.5">
      <c r="A130" s="8" t="s">
        <v>166</v>
      </c>
      <c r="B130" s="53">
        <f>IF(ISERROR(VLOOKUP(A130,GunsTable,13,FALSE))=TRUE,"",VLOOKUP(A130,GunsTable,13,FALSE))</f>
        <v>350</v>
      </c>
      <c r="C130" s="53" t="str">
        <f>IF(ISERROR(VLOOKUP(A130,GunsTable,12,FALSE))=TRUE,0,VLOOKUP(A130,GunsTable,12,FALSE))</f>
        <v>4R</v>
      </c>
      <c r="E130" s="8" t="s">
        <v>167</v>
      </c>
      <c r="H130" s="13" t="str">
        <f>IF(ISERROR(VLOOKUP(A130,GunsTable,2,FALSE))=TRUE,"",VLOOKUP(A130,GunsTable,2,FALSE))</f>
        <v>Heavy Pistol</v>
      </c>
      <c r="I130" s="13" t="str">
        <f>CONCATENATE(VLOOKUP(A130,GunsTable,3,FALSE)+VLOOKUP(E130,AmmoTable,2,FALSE),VLOOKUP(E130,AmmoTable,4,FALSE))</f>
        <v>5P</v>
      </c>
      <c r="J130" s="13">
        <f>VLOOKUP(A130,GunsTable,4,FALSE)+VLOOKUP(E130,AmmoTable,3,FALSE)</f>
        <v>-5</v>
      </c>
      <c r="K130" s="13" t="str">
        <f>VLOOKUP(A130,GunsTable,5,FALSE)</f>
        <v>SA</v>
      </c>
      <c r="L130" s="13" t="str">
        <f>VLOOKUP(A130,GunsTable,11,FALSE)</f>
        <v>15(c)</v>
      </c>
      <c r="M130" s="13">
        <f>VLOOKUP(A130,GunsTable,6,FALSE)</f>
      </c>
      <c r="N130" s="13" t="str">
        <f>VLOOKUP($A130,GunsTable,7,FALSE)</f>
        <v>0-5m</v>
      </c>
      <c r="O130" s="13" t="str">
        <f>VLOOKUP($A130,GunsTable,8,FALSE)</f>
        <v>6-20m</v>
      </c>
      <c r="P130" s="13" t="str">
        <f>VLOOKUP($A130,GunsTable,9,FALSE)</f>
        <v>21-40m</v>
      </c>
      <c r="Q130" s="13" t="str">
        <f>VLOOKUP($A130,GunsTable,10,FALSE)</f>
        <v>41-60m</v>
      </c>
    </row>
    <row r="131" spans="1:17" ht="10.5">
      <c r="A131" s="8"/>
      <c r="B131" s="53">
        <f>IF(ISERROR(VLOOKUP(A131,GunsTable,13,FALSE))=TRUE,"",VLOOKUP(A131,GunsTable,13,FALSE))</f>
      </c>
      <c r="C131" s="53">
        <f>IF(ISERROR(VLOOKUP(A131,GunsTable,12,FALSE))=TRUE,0,VLOOKUP(A131,GunsTable,12,FALSE))</f>
        <v>0</v>
      </c>
      <c r="E131" s="8"/>
      <c r="H131" s="13">
        <f>IF(ISERROR(VLOOKUP(A131,GunsTable,2,FALSE))=TRUE,"",VLOOKUP(A131,GunsTable,2,FALSE))</f>
      </c>
      <c r="I131" s="13" t="e">
        <f>CONCATENATE(VLOOKUP(A131,GunsTable,3,FALSE)+VLOOKUP(E131,AmmoTable,2,FALSE),VLOOKUP(E131,AmmoTable,4,FALSE))</f>
        <v>#N/A</v>
      </c>
      <c r="J131" s="13" t="e">
        <f>VLOOKUP(A131,GunsTable,4,FALSE)+VLOOKUP(E131,AmmoTable,3,FALSE)</f>
        <v>#N/A</v>
      </c>
      <c r="K131" s="13" t="e">
        <f>VLOOKUP(A131,GunsTable,5,FALSE)</f>
        <v>#N/A</v>
      </c>
      <c r="L131" s="13" t="e">
        <f>VLOOKUP(A131,GunsTable,11,FALSE)</f>
        <v>#N/A</v>
      </c>
      <c r="M131" s="13" t="e">
        <f>VLOOKUP(A131,GunsTable,6,FALSE)</f>
        <v>#N/A</v>
      </c>
      <c r="N131" s="13" t="e">
        <f>VLOOKUP($A131,GunsTable,7,FALSE)</f>
        <v>#N/A</v>
      </c>
      <c r="O131" s="13" t="e">
        <f>VLOOKUP($A131,GunsTable,8,FALSE)</f>
        <v>#N/A</v>
      </c>
      <c r="P131" s="13" t="e">
        <f>VLOOKUP($A131,GunsTable,9,FALSE)</f>
        <v>#N/A</v>
      </c>
      <c r="Q131" s="13" t="e">
        <f>VLOOKUP($A131,GunsTable,10,FALSE)</f>
        <v>#N/A</v>
      </c>
    </row>
    <row r="132" spans="1:17" ht="10.5">
      <c r="A132" s="8"/>
      <c r="B132" s="53">
        <f>IF(ISERROR(VLOOKUP(A132,GunsTable,13,FALSE))=TRUE,"",VLOOKUP(A132,GunsTable,13,FALSE))</f>
      </c>
      <c r="C132" s="53">
        <f>IF(ISERROR(VLOOKUP(A132,GunsTable,12,FALSE))=TRUE,0,VLOOKUP(A132,GunsTable,12,FALSE))</f>
        <v>0</v>
      </c>
      <c r="E132" s="8"/>
      <c r="H132" s="13">
        <f>IF(ISERROR(VLOOKUP(A132,GunsTable,2,FALSE))=TRUE,"",VLOOKUP(A132,GunsTable,2,FALSE))</f>
      </c>
      <c r="I132" s="13" t="e">
        <f>CONCATENATE(VLOOKUP(A132,GunsTable,3,FALSE)+VLOOKUP(E132,AmmoTable,2,FALSE),VLOOKUP(E132,AmmoTable,4,FALSE))</f>
        <v>#N/A</v>
      </c>
      <c r="J132" s="13" t="e">
        <f>VLOOKUP(A132,GunsTable,4,FALSE)+VLOOKUP(E132,AmmoTable,3,FALSE)</f>
        <v>#N/A</v>
      </c>
      <c r="K132" s="13" t="e">
        <f>VLOOKUP(A132,GunsTable,5,FALSE)</f>
        <v>#N/A</v>
      </c>
      <c r="L132" s="13" t="e">
        <f>VLOOKUP(A132,GunsTable,11,FALSE)</f>
        <v>#N/A</v>
      </c>
      <c r="M132" s="13" t="e">
        <f>VLOOKUP(A132,GunsTable,6,FALSE)</f>
        <v>#N/A</v>
      </c>
      <c r="N132" s="13" t="e">
        <f>VLOOKUP($A132,GunsTable,7,FALSE)</f>
        <v>#N/A</v>
      </c>
      <c r="O132" s="13" t="e">
        <f>VLOOKUP($A132,GunsTable,8,FALSE)</f>
        <v>#N/A</v>
      </c>
      <c r="P132" s="13" t="e">
        <f>VLOOKUP($A132,GunsTable,9,FALSE)</f>
        <v>#N/A</v>
      </c>
      <c r="Q132" s="13" t="e">
        <f>VLOOKUP($A132,GunsTable,10,FALSE)</f>
        <v>#N/A</v>
      </c>
    </row>
    <row r="133" spans="1:17" ht="10.5">
      <c r="A133" s="8"/>
      <c r="B133" s="53">
        <f>IF(ISERROR(VLOOKUP(A133,GunsTable,13,FALSE))=TRUE,"",VLOOKUP(A133,GunsTable,13,FALSE))</f>
      </c>
      <c r="C133" s="53">
        <f>IF(ISERROR(VLOOKUP(A133,GunsTable,12,FALSE))=TRUE,0,VLOOKUP(A133,GunsTable,12,FALSE))</f>
        <v>0</v>
      </c>
      <c r="E133" s="8"/>
      <c r="H133" s="13">
        <f>IF(ISERROR(VLOOKUP(A133,GunsTable,2,FALSE))=TRUE,"",VLOOKUP(A133,GunsTable,2,FALSE))</f>
      </c>
      <c r="I133" s="13" t="e">
        <f>CONCATENATE(VLOOKUP(A133,GunsTable,3,FALSE)+VLOOKUP(E133,AmmoTable,2,FALSE),VLOOKUP(E133,AmmoTable,4,FALSE))</f>
        <v>#N/A</v>
      </c>
      <c r="J133" s="13" t="e">
        <f>VLOOKUP(A133,GunsTable,4,FALSE)+VLOOKUP(E133,AmmoTable,3,FALSE)</f>
        <v>#N/A</v>
      </c>
      <c r="K133" s="13" t="e">
        <f>VLOOKUP(A133,GunsTable,5,FALSE)</f>
        <v>#N/A</v>
      </c>
      <c r="L133" s="13" t="e">
        <f>VLOOKUP(A133,GunsTable,11,FALSE)</f>
        <v>#N/A</v>
      </c>
      <c r="M133" s="13" t="e">
        <f>VLOOKUP(A133,GunsTable,6,FALSE)</f>
        <v>#N/A</v>
      </c>
      <c r="N133" s="13" t="e">
        <f>VLOOKUP($A133,GunsTable,7,FALSE)</f>
        <v>#N/A</v>
      </c>
      <c r="O133" s="13" t="e">
        <f>VLOOKUP($A133,GunsTable,8,FALSE)</f>
        <v>#N/A</v>
      </c>
      <c r="P133" s="13" t="e">
        <f>VLOOKUP($A133,GunsTable,9,FALSE)</f>
        <v>#N/A</v>
      </c>
      <c r="Q133" s="13" t="e">
        <f>VLOOKUP($A133,GunsTable,10,FALSE)</f>
        <v>#N/A</v>
      </c>
    </row>
    <row r="134" spans="1:17" ht="10.5">
      <c r="A134" s="8"/>
      <c r="B134" s="53">
        <f>IF(ISERROR(VLOOKUP(A134,GunsTable,13,FALSE))=TRUE,"",VLOOKUP(A134,GunsTable,13,FALSE))</f>
      </c>
      <c r="C134" s="53">
        <f>IF(ISERROR(VLOOKUP(A134,GunsTable,12,FALSE))=TRUE,0,VLOOKUP(A134,GunsTable,12,FALSE))</f>
        <v>0</v>
      </c>
      <c r="E134" s="8"/>
      <c r="H134" s="13">
        <f>IF(ISERROR(VLOOKUP(A134,GunsTable,2,FALSE))=TRUE,"",VLOOKUP(A134,GunsTable,2,FALSE))</f>
      </c>
      <c r="I134" s="13" t="e">
        <f>CONCATENATE(VLOOKUP(A134,GunsTable,3,FALSE)+VLOOKUP(E134,AmmoTable,2,FALSE),VLOOKUP(E134,AmmoTable,4,FALSE))</f>
        <v>#N/A</v>
      </c>
      <c r="J134" s="13" t="e">
        <f>VLOOKUP(A134,GunsTable,4,FALSE)+VLOOKUP(E134,AmmoTable,3,FALSE)</f>
        <v>#N/A</v>
      </c>
      <c r="K134" s="13" t="e">
        <f>VLOOKUP(A134,GunsTable,5,FALSE)</f>
        <v>#N/A</v>
      </c>
      <c r="L134" s="13" t="e">
        <f>VLOOKUP(A134,GunsTable,11,FALSE)</f>
        <v>#N/A</v>
      </c>
      <c r="M134" s="13" t="e">
        <f>VLOOKUP(A134,GunsTable,6,FALSE)</f>
        <v>#N/A</v>
      </c>
      <c r="N134" s="13" t="e">
        <f>VLOOKUP($A134,GunsTable,7,FALSE)</f>
        <v>#N/A</v>
      </c>
      <c r="O134" s="13" t="e">
        <f>VLOOKUP($A134,GunsTable,8,FALSE)</f>
        <v>#N/A</v>
      </c>
      <c r="P134" s="13" t="e">
        <f>VLOOKUP($A134,GunsTable,9,FALSE)</f>
        <v>#N/A</v>
      </c>
      <c r="Q134" s="13" t="e">
        <f>VLOOKUP($A134,GunsTable,10,FALSE)</f>
        <v>#N/A</v>
      </c>
    </row>
    <row r="135" spans="1:17" ht="10.5">
      <c r="A135" s="8"/>
      <c r="B135" s="53">
        <f>IF(ISERROR(VLOOKUP(A135,GunsTable,13,FALSE))=TRUE,"",VLOOKUP(A135,GunsTable,13,FALSE))</f>
      </c>
      <c r="C135" s="53">
        <f>IF(ISERROR(VLOOKUP(A135,GunsTable,12,FALSE))=TRUE,0,VLOOKUP(A135,GunsTable,12,FALSE))</f>
        <v>0</v>
      </c>
      <c r="E135" s="8"/>
      <c r="H135" s="13">
        <f>IF(ISERROR(VLOOKUP(A135,GunsTable,2,FALSE))=TRUE,"",VLOOKUP(A135,GunsTable,2,FALSE))</f>
      </c>
      <c r="I135" s="13" t="e">
        <f>CONCATENATE(VLOOKUP(A135,GunsTable,3,FALSE)+VLOOKUP(E135,AmmoTable,2,FALSE),VLOOKUP(E135,AmmoTable,4,FALSE))</f>
        <v>#N/A</v>
      </c>
      <c r="J135" s="13" t="e">
        <f>VLOOKUP(A135,GunsTable,4,FALSE)+VLOOKUP(E135,AmmoTable,3,FALSE)</f>
        <v>#N/A</v>
      </c>
      <c r="K135" s="13" t="e">
        <f>VLOOKUP(A135,GunsTable,5,FALSE)</f>
        <v>#N/A</v>
      </c>
      <c r="L135" s="13" t="e">
        <f>VLOOKUP(A135,GunsTable,11,FALSE)</f>
        <v>#N/A</v>
      </c>
      <c r="M135" s="13" t="e">
        <f>VLOOKUP(A135,GunsTable,6,FALSE)</f>
        <v>#N/A</v>
      </c>
      <c r="N135" s="13" t="e">
        <f>VLOOKUP($A135,GunsTable,7,FALSE)</f>
        <v>#N/A</v>
      </c>
      <c r="O135" s="13" t="e">
        <f>VLOOKUP($A135,GunsTable,8,FALSE)</f>
        <v>#N/A</v>
      </c>
      <c r="P135" s="13" t="e">
        <f>VLOOKUP($A135,GunsTable,9,FALSE)</f>
        <v>#N/A</v>
      </c>
      <c r="Q135" s="13" t="e">
        <f>VLOOKUP($A135,GunsTable,10,FALSE)</f>
        <v>#N/A</v>
      </c>
    </row>
    <row r="136" spans="1:17" ht="10.5">
      <c r="A136" s="8"/>
      <c r="B136" s="53">
        <f>IF(ISERROR(VLOOKUP(A136,GunsTable,13,FALSE))=TRUE,"",VLOOKUP(A136,GunsTable,13,FALSE))</f>
      </c>
      <c r="C136" s="53">
        <f>IF(ISERROR(VLOOKUP(A136,GunsTable,12,FALSE))=TRUE,0,VLOOKUP(A136,GunsTable,12,FALSE))</f>
        <v>0</v>
      </c>
      <c r="E136" s="8"/>
      <c r="H136" s="13">
        <f>IF(ISERROR(VLOOKUP(A136,GunsTable,2,FALSE))=TRUE,"",VLOOKUP(A136,GunsTable,2,FALSE))</f>
      </c>
      <c r="I136" s="13" t="e">
        <f>CONCATENATE(VLOOKUP(A136,GunsTable,3,FALSE)+VLOOKUP(E136,AmmoTable,2,FALSE),VLOOKUP(E136,AmmoTable,4,FALSE))</f>
        <v>#N/A</v>
      </c>
      <c r="J136" s="13" t="e">
        <f>VLOOKUP(A136,GunsTable,4,FALSE)+VLOOKUP(E136,AmmoTable,3,FALSE)</f>
        <v>#N/A</v>
      </c>
      <c r="K136" s="13" t="e">
        <f>VLOOKUP(A136,GunsTable,5,FALSE)</f>
        <v>#N/A</v>
      </c>
      <c r="L136" s="13" t="e">
        <f>VLOOKUP(A136,GunsTable,11,FALSE)</f>
        <v>#N/A</v>
      </c>
      <c r="M136" s="13" t="e">
        <f>VLOOKUP(A136,GunsTable,6,FALSE)</f>
        <v>#N/A</v>
      </c>
      <c r="N136" s="13" t="e">
        <f>VLOOKUP($A136,GunsTable,7,FALSE)</f>
        <v>#N/A</v>
      </c>
      <c r="O136" s="13" t="e">
        <f>VLOOKUP($A136,GunsTable,8,FALSE)</f>
        <v>#N/A</v>
      </c>
      <c r="P136" s="13" t="e">
        <f>VLOOKUP($A136,GunsTable,9,FALSE)</f>
        <v>#N/A</v>
      </c>
      <c r="Q136" s="13" t="e">
        <f>VLOOKUP($A136,GunsTable,10,FALSE)</f>
        <v>#N/A</v>
      </c>
    </row>
    <row r="137" spans="1:12" ht="10.5">
      <c r="A137" s="65"/>
      <c r="B137" s="66"/>
      <c r="C137" s="67"/>
      <c r="D137" s="67"/>
      <c r="E137" s="65"/>
      <c r="F137" s="67"/>
      <c r="G137" s="67"/>
      <c r="H137" s="65"/>
      <c r="I137" s="65"/>
      <c r="J137" s="65"/>
      <c r="K137" s="65"/>
      <c r="L137" s="65"/>
    </row>
    <row r="138" spans="1:2" ht="10.5">
      <c r="A138" s="7" t="s">
        <v>36</v>
      </c>
      <c r="B138" s="53">
        <f>SUM(B123:B127)+SUM(B130:B137)</f>
        <v>370</v>
      </c>
    </row>
    <row r="139" spans="1:2" ht="10.5">
      <c r="A139" s="7"/>
      <c r="B139" s="53"/>
    </row>
    <row r="140" spans="1:13" ht="10.5">
      <c r="A140" s="37" t="s">
        <v>168</v>
      </c>
      <c r="B140" s="68" t="s">
        <v>169</v>
      </c>
      <c r="D140" s="10" t="s">
        <v>149</v>
      </c>
      <c r="E140" s="4" t="s">
        <v>170</v>
      </c>
      <c r="F140" s="10" t="s">
        <v>149</v>
      </c>
      <c r="H140" s="4" t="s">
        <v>171</v>
      </c>
      <c r="I140" s="10" t="s">
        <v>149</v>
      </c>
      <c r="J140" s="10" t="s">
        <v>5</v>
      </c>
      <c r="K140" s="67"/>
      <c r="L140" s="67"/>
      <c r="M140" s="69"/>
    </row>
    <row r="141" spans="1:13" ht="10.5">
      <c r="A141" s="70" t="str">
        <f>A130</f>
        <v>Ares Predator IV</v>
      </c>
      <c r="B141" s="71"/>
      <c r="C141" s="71"/>
      <c r="D141" s="53">
        <f>IF(ISERROR(VLOOKUP(B141,AccTopTable,2,FALSE))=TRUE,0,VLOOKUP(B141,AccTopTable,2,FALSE))</f>
        <v>0</v>
      </c>
      <c r="E141" s="72"/>
      <c r="F141" s="53">
        <f>IF(ISERROR(VLOOKUP(E141,AccBarrelTable,2,FALSE))=TRUE,0,VLOOKUP(E141,AccBarrelTable,2,FALSE))</f>
        <v>0</v>
      </c>
      <c r="H141" s="72"/>
      <c r="I141" s="53">
        <f>IF(ISERROR(VLOOKUP(H141,AccUnderTable,2,FALSE))=TRUE,0,VLOOKUP(H141,AccUnderTable,2,FALSE))</f>
        <v>0</v>
      </c>
      <c r="J141" s="53">
        <f>IF(ISERROR(VLOOKUP(B141,AccTopTable,3,FALSE))=TRUE,0,VLOOKUP(B141,AccTopTable,3,FALSE))+IF(ISERROR(VLOOKUP(E141,AccBarrelTable,3,FALSE))=TRUE,0,VLOOKUP(E141,AccBarrelTable,3,FALSE))+IF(ISERROR(VLOOKUP(H141,AccUnderTable,3,FALSE))=TRUE,0,VLOOKUP(H141,AccUnderTable,3,FALSE))</f>
        <v>0</v>
      </c>
      <c r="K141" s="65"/>
      <c r="L141" s="65"/>
      <c r="M141" s="67"/>
    </row>
    <row r="142" spans="1:10" ht="10.5">
      <c r="A142" s="70">
        <f>A131</f>
        <v>0</v>
      </c>
      <c r="B142" s="71"/>
      <c r="C142" s="71"/>
      <c r="D142" s="53">
        <f>IF(ISERROR(VLOOKUP(B142,AccTopTable,2,FALSE))=TRUE,0,VLOOKUP(B142,AccTopTable,2,FALSE))</f>
        <v>0</v>
      </c>
      <c r="E142" s="72"/>
      <c r="F142" s="53">
        <f>IF(ISERROR(VLOOKUP(E142,AccBarrelTable,2,FALSE))=TRUE,0,VLOOKUP(E142,AccBarrelTable,2,FALSE))</f>
        <v>0</v>
      </c>
      <c r="H142" s="72"/>
      <c r="I142" s="53">
        <f>IF(ISERROR(VLOOKUP(H142,AccUnderTable,2,FALSE))=TRUE,0,VLOOKUP(H142,AccUnderTable,2,FALSE))</f>
        <v>0</v>
      </c>
      <c r="J142" s="53">
        <f>IF(ISERROR(VLOOKUP(B142,AccTopTable,3,FALSE))=TRUE,0,VLOOKUP(B142,AccTopTable,3,FALSE))+IF(ISERROR(VLOOKUP(E142,AccBarrelTable,3,FALSE))=TRUE,0,VLOOKUP(E142,AccBarrelTable,3,FALSE))+IF(ISERROR(VLOOKUP(H142,AccUnderTable,3,FALSE))=TRUE,0,VLOOKUP(H142,AccUnderTable,3,FALSE))</f>
        <v>0</v>
      </c>
    </row>
    <row r="143" spans="1:10" ht="10.5">
      <c r="A143" s="70">
        <f>A132</f>
        <v>0</v>
      </c>
      <c r="B143" s="71"/>
      <c r="C143" s="71"/>
      <c r="D143" s="53">
        <f>IF(ISERROR(VLOOKUP(B143,AccTopTable,2,FALSE))=TRUE,0,VLOOKUP(B143,AccTopTable,2,FALSE))</f>
        <v>0</v>
      </c>
      <c r="E143" s="72"/>
      <c r="F143" s="53">
        <f>IF(ISERROR(VLOOKUP(E143,AccBarrelTable,2,FALSE))=TRUE,0,VLOOKUP(E143,AccBarrelTable,2,FALSE))</f>
        <v>0</v>
      </c>
      <c r="H143" s="72"/>
      <c r="I143" s="53">
        <f>IF(ISERROR(VLOOKUP(H143,AccUnderTable,2,FALSE))=TRUE,0,VLOOKUP(H143,AccUnderTable,2,FALSE))</f>
        <v>0</v>
      </c>
      <c r="J143" s="53">
        <f>IF(ISERROR(VLOOKUP(B143,AccTopTable,3,FALSE))=TRUE,0,VLOOKUP(B143,AccTopTable,3,FALSE))+IF(ISERROR(VLOOKUP(E143,AccBarrelTable,3,FALSE))=TRUE,0,VLOOKUP(E143,AccBarrelTable,3,FALSE))+IF(ISERROR(VLOOKUP(H143,AccUnderTable,3,FALSE))=TRUE,0,VLOOKUP(H143,AccUnderTable,3,FALSE))</f>
        <v>0</v>
      </c>
    </row>
    <row r="144" spans="1:10" ht="10.5">
      <c r="A144" s="70">
        <f>A133</f>
        <v>0</v>
      </c>
      <c r="B144" s="71"/>
      <c r="C144" s="71"/>
      <c r="D144" s="53">
        <f>IF(ISERROR(VLOOKUP(B144,AccTopTable,2,FALSE))=TRUE,0,VLOOKUP(B144,AccTopTable,2,FALSE))</f>
        <v>0</v>
      </c>
      <c r="E144" s="72"/>
      <c r="F144" s="53">
        <f>IF(ISERROR(VLOOKUP(E144,AccBarrelTable,2,FALSE))=TRUE,0,VLOOKUP(E144,AccBarrelTable,2,FALSE))</f>
        <v>0</v>
      </c>
      <c r="H144" s="72"/>
      <c r="I144" s="53">
        <f>IF(ISERROR(VLOOKUP(H144,AccUnderTable,2,FALSE))=TRUE,0,VLOOKUP(H144,AccUnderTable,2,FALSE))</f>
        <v>0</v>
      </c>
      <c r="J144" s="53">
        <f>IF(ISERROR(VLOOKUP(B144,AccTopTable,3,FALSE))=TRUE,0,VLOOKUP(B144,AccTopTable,3,FALSE))+IF(ISERROR(VLOOKUP(E144,AccBarrelTable,3,FALSE))=TRUE,0,VLOOKUP(E144,AccBarrelTable,3,FALSE))+IF(ISERROR(VLOOKUP(H144,AccUnderTable,3,FALSE))=TRUE,0,VLOOKUP(H144,AccUnderTable,3,FALSE))</f>
        <v>0</v>
      </c>
    </row>
    <row r="145" spans="1:10" ht="10.5">
      <c r="A145" s="70">
        <f>A134</f>
        <v>0</v>
      </c>
      <c r="B145" s="71"/>
      <c r="C145" s="71"/>
      <c r="D145" s="53">
        <f>IF(ISERROR(VLOOKUP(B145,AccTopTable,2,FALSE))=TRUE,0,VLOOKUP(B145,AccTopTable,2,FALSE))</f>
        <v>0</v>
      </c>
      <c r="E145" s="72"/>
      <c r="F145" s="53">
        <f>IF(ISERROR(VLOOKUP(E145,AccBarrelTable,2,FALSE))=TRUE,0,VLOOKUP(E145,AccBarrelTable,2,FALSE))</f>
        <v>0</v>
      </c>
      <c r="H145" s="72"/>
      <c r="I145" s="53">
        <f>IF(ISERROR(VLOOKUP(H145,AccUnderTable,2,FALSE))=TRUE,0,VLOOKUP(H145,AccUnderTable,2,FALSE))</f>
        <v>0</v>
      </c>
      <c r="J145" s="53">
        <f>IF(ISERROR(VLOOKUP(B145,AccTopTable,3,FALSE))=TRUE,0,VLOOKUP(B145,AccTopTable,3,FALSE))+IF(ISERROR(VLOOKUP(E145,AccBarrelTable,3,FALSE))=TRUE,0,VLOOKUP(E145,AccBarrelTable,3,FALSE))+IF(ISERROR(VLOOKUP(H145,AccUnderTable,3,FALSE))=TRUE,0,VLOOKUP(H145,AccUnderTable,3,FALSE))</f>
        <v>0</v>
      </c>
    </row>
    <row r="146" spans="1:10" ht="10.5">
      <c r="A146" s="70">
        <f>A135</f>
        <v>0</v>
      </c>
      <c r="B146" s="71"/>
      <c r="C146" s="71"/>
      <c r="D146" s="53">
        <f>IF(ISERROR(VLOOKUP(B146,AccTopTable,2,FALSE))=TRUE,0,VLOOKUP(B146,AccTopTable,2,FALSE))</f>
        <v>0</v>
      </c>
      <c r="E146" s="72"/>
      <c r="F146" s="53">
        <f>IF(ISERROR(VLOOKUP(E146,AccBarrelTable,2,FALSE))=TRUE,0,VLOOKUP(E146,AccBarrelTable,2,FALSE))</f>
        <v>0</v>
      </c>
      <c r="H146" s="72"/>
      <c r="I146" s="53">
        <f>IF(ISERROR(VLOOKUP(H146,AccUnderTable,2,FALSE))=TRUE,0,VLOOKUP(H146,AccUnderTable,2,FALSE))</f>
        <v>0</v>
      </c>
      <c r="J146" s="53">
        <f>IF(ISERROR(VLOOKUP(B146,AccTopTable,3,FALSE))=TRUE,0,VLOOKUP(B146,AccTopTable,3,FALSE))+IF(ISERROR(VLOOKUP(E146,AccBarrelTable,3,FALSE))=TRUE,0,VLOOKUP(E146,AccBarrelTable,3,FALSE))+IF(ISERROR(VLOOKUP(H146,AccUnderTable,3,FALSE))=TRUE,0,VLOOKUP(H146,AccUnderTable,3,FALSE))</f>
        <v>0</v>
      </c>
    </row>
    <row r="147" spans="1:10" ht="10.5">
      <c r="A147" s="70">
        <f>A136</f>
        <v>0</v>
      </c>
      <c r="B147" s="71"/>
      <c r="C147" s="71"/>
      <c r="D147" s="53">
        <f>IF(ISERROR(VLOOKUP(B147,AccTopTable,2,FALSE))=TRUE,0,VLOOKUP(B147,AccTopTable,2,FALSE))</f>
        <v>0</v>
      </c>
      <c r="E147" s="72"/>
      <c r="F147" s="53">
        <f>IF(ISERROR(VLOOKUP(E147,AccBarrelTable,2,FALSE))=TRUE,0,VLOOKUP(E147,AccBarrelTable,2,FALSE))</f>
        <v>0</v>
      </c>
      <c r="H147" s="72"/>
      <c r="I147" s="53">
        <f>IF(ISERROR(VLOOKUP(H147,AccUnderTable,2,FALSE))=TRUE,0,VLOOKUP(H147,AccUnderTable,2,FALSE))</f>
        <v>0</v>
      </c>
      <c r="J147" s="53">
        <f>IF(ISERROR(VLOOKUP(B147,AccTopTable,3,FALSE))=TRUE,0,VLOOKUP(B147,AccTopTable,3,FALSE))+IF(ISERROR(VLOOKUP(E147,AccBarrelTable,3,FALSE))=TRUE,0,VLOOKUP(E147,AccBarrelTable,3,FALSE))+IF(ISERROR(VLOOKUP(H147,AccUnderTable,3,FALSE))=TRUE,0,VLOOKUP(H147,AccUnderTable,3,FALSE))</f>
        <v>0</v>
      </c>
    </row>
    <row r="148" spans="9:10" ht="10.5">
      <c r="I148" s="7" t="s">
        <v>36</v>
      </c>
      <c r="J148" s="53">
        <f>SUM(J141:J147)</f>
        <v>0</v>
      </c>
    </row>
    <row r="149" spans="1:8" ht="10.5">
      <c r="A149" s="73" t="s">
        <v>172</v>
      </c>
      <c r="B149" s="73"/>
      <c r="C149" s="73"/>
      <c r="D149" s="73"/>
      <c r="E149" s="73"/>
      <c r="F149" s="73"/>
      <c r="G149" s="73"/>
      <c r="H149" s="73"/>
    </row>
    <row r="150" spans="1:8" ht="10.5">
      <c r="A150" s="73"/>
      <c r="B150" s="73"/>
      <c r="C150" s="73"/>
      <c r="D150" s="73"/>
      <c r="E150" s="73"/>
      <c r="F150" s="73"/>
      <c r="G150" s="73"/>
      <c r="H150" s="73"/>
    </row>
    <row r="151" spans="1:8" ht="10.5">
      <c r="A151" s="73"/>
      <c r="B151" s="73"/>
      <c r="C151" s="73"/>
      <c r="D151" s="73"/>
      <c r="E151" s="73"/>
      <c r="F151" s="73"/>
      <c r="G151" s="73"/>
      <c r="H151" s="73"/>
    </row>
    <row r="152" spans="1:8" ht="10.5">
      <c r="A152" s="73"/>
      <c r="B152" s="73"/>
      <c r="C152" s="73"/>
      <c r="D152" s="73"/>
      <c r="E152" s="73"/>
      <c r="F152" s="73"/>
      <c r="G152" s="73"/>
      <c r="H152" s="73"/>
    </row>
    <row r="154" spans="1:30" ht="10.5">
      <c r="A154" s="4" t="s">
        <v>173</v>
      </c>
      <c r="B154" s="10" t="s">
        <v>5</v>
      </c>
      <c r="C154" s="10" t="s">
        <v>174</v>
      </c>
      <c r="D154" s="10" t="s">
        <v>149</v>
      </c>
      <c r="E154" s="10" t="s">
        <v>175</v>
      </c>
      <c r="H154" s="4" t="s">
        <v>176</v>
      </c>
      <c r="I154" s="10" t="s">
        <v>5</v>
      </c>
      <c r="J154" s="10" t="s">
        <v>177</v>
      </c>
      <c r="K154" s="10" t="s">
        <v>178</v>
      </c>
      <c r="L154" s="4" t="s">
        <v>175</v>
      </c>
      <c r="AA154" s="1" t="s">
        <v>174</v>
      </c>
      <c r="AB154" s="1" t="s">
        <v>5</v>
      </c>
      <c r="AC154" s="1" t="s">
        <v>174</v>
      </c>
      <c r="AD154" s="1" t="s">
        <v>5</v>
      </c>
    </row>
    <row r="155" spans="1:30" ht="10.5">
      <c r="A155" s="74" t="s">
        <v>179</v>
      </c>
      <c r="B155" s="53">
        <f>AB155*IF(ISERROR(VLOOKUP($A155,CyberTable,5,FALSE))=TRUE,0,VLOOKUP($A155,CyberTable,5,FALSE))</f>
        <v>10000</v>
      </c>
      <c r="C155" s="75">
        <f>AA155*IF(ISERROR(VLOOKUP($A155,CyberTable,2,FALSE))=TRUE,0,VLOOKUP($A155,CyberTable,2,FALSE))</f>
        <v>1</v>
      </c>
      <c r="D155" s="53">
        <f>IF(ISERROR(VLOOKUP($A155,CyberTable,4,FALSE))=TRUE,"",VLOOKUP($A155,CyberTable,4,FALSE))</f>
        <v>20</v>
      </c>
      <c r="E155" s="8" t="s">
        <v>180</v>
      </c>
      <c r="H155" s="8" t="s">
        <v>181</v>
      </c>
      <c r="I155" s="53">
        <f>AD155*IF(ISERROR(VLOOKUP($H155,BioTable,5,FALSE))=TRUE,0,VLOOKUP($H155,BioTable,5,FALSE))</f>
        <v>45000</v>
      </c>
      <c r="J155" s="75">
        <f>AC155*IF(ISERROR(VLOOKUP($H155,BioTable,2,FALSE))=TRUE,0,VLOOKUP($H155,BioTable,2,FALSE))</f>
        <v>0.7000000000000001</v>
      </c>
      <c r="K155" s="53" t="str">
        <f>IF(ISERROR(VLOOKUP($H155,BioTable,4,FALSE))=TRUE,"",VLOOKUP($H155,BioTable,4,FALSE))</f>
        <v>20F</v>
      </c>
      <c r="L155" s="8" t="s">
        <v>180</v>
      </c>
      <c r="AA155" s="76">
        <f>VLOOKUP($E155,CybGradeTable,2,FALSE)</f>
        <v>1</v>
      </c>
      <c r="AB155" s="76">
        <f>VLOOKUP($E155,CybGradeTable,3,FALSE)</f>
        <v>1</v>
      </c>
      <c r="AC155" s="76">
        <f>VLOOKUP($L155,CybGradeTable,2,FALSE)</f>
        <v>1</v>
      </c>
      <c r="AD155" s="76">
        <f>VLOOKUP($L155,CybGradeTable,3,FALSE)</f>
        <v>1</v>
      </c>
    </row>
    <row r="156" spans="1:30" ht="10.5">
      <c r="A156" s="74" t="s">
        <v>182</v>
      </c>
      <c r="B156" s="53">
        <f>AB156*IF(ISERROR(VLOOKUP($A156,CyberTable,5,FALSE))=TRUE,0,VLOOKUP($A156,CyberTable,5,FALSE))</f>
        <v>40000</v>
      </c>
      <c r="C156" s="75">
        <f>AA156*IF(ISERROR(VLOOKUP($A156,CyberTable,2,FALSE))=TRUE,0,VLOOKUP($A156,CyberTable,2,FALSE))</f>
        <v>1.5</v>
      </c>
      <c r="D156" s="53" t="str">
        <f>IF(ISERROR(VLOOKUP($A156,CyberTable,4,FALSE))=TRUE,"",VLOOKUP($A156,CyberTable,4,FALSE))</f>
        <v>16F</v>
      </c>
      <c r="E156" s="8" t="s">
        <v>180</v>
      </c>
      <c r="H156" s="8" t="s">
        <v>183</v>
      </c>
      <c r="I156" s="53">
        <f>AD156*IF(ISERROR(VLOOKUP($H156,BioTable,5,FALSE))=TRUE,0,VLOOKUP($H156,BioTable,5,FALSE))</f>
        <v>28000</v>
      </c>
      <c r="J156" s="75">
        <f>AC156*IF(ISERROR(VLOOKUP($H156,BioTable,2,FALSE))=TRUE,0,VLOOKUP($H156,BioTable,2,FALSE))</f>
        <v>0.8</v>
      </c>
      <c r="K156" s="53" t="str">
        <f>IF(ISERROR(VLOOKUP($H156,BioTable,4,FALSE))=TRUE,"",VLOOKUP($H156,BioTable,4,FALSE))</f>
        <v>20R</v>
      </c>
      <c r="L156" s="8" t="s">
        <v>180</v>
      </c>
      <c r="AA156" s="76">
        <f>VLOOKUP(E156,CybGradeTable,2,FALSE)</f>
        <v>1</v>
      </c>
      <c r="AB156" s="76">
        <f>VLOOKUP($E156,CybGradeTable,3,FALSE)</f>
        <v>1</v>
      </c>
      <c r="AC156" s="76">
        <f>VLOOKUP($L156,CybGradeTable,2,FALSE)</f>
        <v>1</v>
      </c>
      <c r="AD156" s="76">
        <f>VLOOKUP($L156,CybGradeTable,3,FALSE)</f>
        <v>1</v>
      </c>
    </row>
    <row r="157" spans="1:30" ht="10.5">
      <c r="A157" s="74"/>
      <c r="B157" s="53">
        <f>AB157*IF(ISERROR(VLOOKUP($A157,CyberTable,5,FALSE))=TRUE,0,VLOOKUP($A157,CyberTable,5,FALSE))</f>
        <v>0</v>
      </c>
      <c r="C157" s="75">
        <f>AA157*IF(ISERROR(VLOOKUP($A157,CyberTable,2,FALSE))=TRUE,0,VLOOKUP($A157,CyberTable,2,FALSE))</f>
        <v>0</v>
      </c>
      <c r="D157" s="53">
        <f>IF(ISERROR(VLOOKUP($A157,CyberTable,4,FALSE))=TRUE,"",VLOOKUP($A157,CyberTable,4,FALSE))</f>
      </c>
      <c r="E157" s="8" t="s">
        <v>180</v>
      </c>
      <c r="H157" s="8" t="s">
        <v>184</v>
      </c>
      <c r="I157" s="53">
        <f>AD157*IF(ISERROR(VLOOKUP($H157,BioTable,5,FALSE))=TRUE,0,VLOOKUP($H157,BioTable,5,FALSE))</f>
        <v>32000</v>
      </c>
      <c r="J157" s="75">
        <f>AC157*IF(ISERROR(VLOOKUP($H157,BioTable,2,FALSE))=TRUE,0,VLOOKUP($H157,BioTable,2,FALSE))</f>
        <v>0.8</v>
      </c>
      <c r="K157" s="53" t="str">
        <f>IF(ISERROR(VLOOKUP($H157,BioTable,4,FALSE))=TRUE,"",VLOOKUP($H157,BioTable,4,FALSE))</f>
        <v>20R</v>
      </c>
      <c r="L157" s="8" t="s">
        <v>180</v>
      </c>
      <c r="AA157" s="76">
        <f>VLOOKUP(E157,CybGradeTable,2,FALSE)</f>
        <v>1</v>
      </c>
      <c r="AB157" s="76">
        <f>VLOOKUP($E157,CybGradeTable,3,FALSE)</f>
        <v>1</v>
      </c>
      <c r="AC157" s="76">
        <f>VLOOKUP($L157,CybGradeTable,2,FALSE)</f>
        <v>1</v>
      </c>
      <c r="AD157" s="76">
        <f>VLOOKUP($L157,CybGradeTable,3,FALSE)</f>
        <v>1</v>
      </c>
    </row>
    <row r="158" spans="1:30" ht="10.5">
      <c r="A158" s="74"/>
      <c r="B158" s="53">
        <f>AB158*IF(ISERROR(VLOOKUP($A158,CyberTable,5,FALSE))=TRUE,0,VLOOKUP($A158,CyberTable,5,FALSE))</f>
        <v>0</v>
      </c>
      <c r="C158" s="75">
        <f>AA158*IF(ISERROR(VLOOKUP($A158,CyberTable,2,FALSE))=TRUE,0,VLOOKUP($A158,CyberTable,2,FALSE))</f>
        <v>0</v>
      </c>
      <c r="D158" s="53">
        <f>IF(ISERROR(VLOOKUP($A158,CyberTable,4,FALSE))=TRUE,"",VLOOKUP($A158,CyberTable,4,FALSE))</f>
      </c>
      <c r="E158" s="8" t="s">
        <v>180</v>
      </c>
      <c r="H158" s="8" t="s">
        <v>185</v>
      </c>
      <c r="I158" s="53">
        <f>AD158*IF(ISERROR(VLOOKUP($H158,BioTable,5,FALSE))=TRUE,0,VLOOKUP($H158,BioTable,5,FALSE))</f>
        <v>240000</v>
      </c>
      <c r="J158" s="75">
        <f>AC158*IF(ISERROR(VLOOKUP($H158,BioTable,2,FALSE))=TRUE,0,VLOOKUP($H158,BioTable,2,FALSE))</f>
        <v>1.5</v>
      </c>
      <c r="K158" s="53" t="str">
        <f>IF(ISERROR(VLOOKUP($H158,BioTable,4,FALSE))=TRUE,"",VLOOKUP($H158,BioTable,4,FALSE))</f>
        <v>18R</v>
      </c>
      <c r="L158" s="8" t="s">
        <v>180</v>
      </c>
      <c r="AA158" s="76">
        <f>VLOOKUP(E158,CybGradeTable,2,FALSE)</f>
        <v>1</v>
      </c>
      <c r="AB158" s="76">
        <f>VLOOKUP($E158,CybGradeTable,3,FALSE)</f>
        <v>1</v>
      </c>
      <c r="AC158" s="76">
        <f>VLOOKUP($L158,CybGradeTable,2,FALSE)</f>
        <v>1</v>
      </c>
      <c r="AD158" s="76">
        <f>VLOOKUP($L158,CybGradeTable,3,FALSE)</f>
        <v>1</v>
      </c>
    </row>
    <row r="159" spans="1:30" ht="10.5">
      <c r="A159" s="74"/>
      <c r="B159" s="53">
        <f>AB159*IF(ISERROR(VLOOKUP($A159,CyberTable,5,FALSE))=TRUE,0,VLOOKUP($A159,CyberTable,5,FALSE))</f>
        <v>0</v>
      </c>
      <c r="C159" s="75">
        <f>AA159*IF(ISERROR(VLOOKUP($A159,CyberTable,2,FALSE))=TRUE,0,VLOOKUP($A159,CyberTable,2,FALSE))</f>
        <v>0</v>
      </c>
      <c r="D159" s="53">
        <f>IF(ISERROR(VLOOKUP($A159,CyberTable,4,FALSE))=TRUE,"",VLOOKUP($A159,CyberTable,4,FALSE))</f>
      </c>
      <c r="E159" s="8" t="s">
        <v>180</v>
      </c>
      <c r="H159" s="8" t="s">
        <v>186</v>
      </c>
      <c r="I159" s="53">
        <f>AD159*IF(ISERROR(VLOOKUP($H159,BioTable,5,FALSE))=TRUE,0,VLOOKUP($H159,BioTable,5,FALSE))</f>
        <v>30000</v>
      </c>
      <c r="J159" s="75">
        <f>AC159*IF(ISERROR(VLOOKUP($H159,BioTable,2,FALSE))=TRUE,0,VLOOKUP($H159,BioTable,2,FALSE))</f>
        <v>0.6</v>
      </c>
      <c r="K159" s="53">
        <f>IF(ISERROR(VLOOKUP($H159,BioTable,4,FALSE))=TRUE,"",VLOOKUP($H159,BioTable,4,FALSE))</f>
        <v>18</v>
      </c>
      <c r="L159" s="8" t="s">
        <v>180</v>
      </c>
      <c r="AA159" s="76">
        <f>VLOOKUP(E159,CybGradeTable,2,FALSE)</f>
        <v>1</v>
      </c>
      <c r="AB159" s="76">
        <f>VLOOKUP($E159,CybGradeTable,3,FALSE)</f>
        <v>1</v>
      </c>
      <c r="AC159" s="76">
        <f>VLOOKUP($L159,CybGradeTable,2,FALSE)</f>
        <v>1</v>
      </c>
      <c r="AD159" s="76">
        <f>VLOOKUP($L159,CybGradeTable,3,FALSE)</f>
        <v>1</v>
      </c>
    </row>
    <row r="160" spans="1:30" ht="10.5">
      <c r="A160" s="74"/>
      <c r="B160" s="53">
        <f>AB160*IF(ISERROR(VLOOKUP($A160,CyberTable,5,FALSE))=TRUE,0,VLOOKUP($A160,CyberTable,5,FALSE))</f>
        <v>0</v>
      </c>
      <c r="C160" s="75">
        <f>AA160*IF(ISERROR(VLOOKUP($A160,CyberTable,2,FALSE))=TRUE,0,VLOOKUP($A160,CyberTable,2,FALSE))</f>
        <v>0</v>
      </c>
      <c r="D160" s="53">
        <f>IF(ISERROR(VLOOKUP($A160,CyberTable,4,FALSE))=TRUE,"",VLOOKUP($A160,CyberTable,4,FALSE))</f>
      </c>
      <c r="E160" s="8" t="s">
        <v>180</v>
      </c>
      <c r="H160" s="8"/>
      <c r="I160" s="53">
        <f>AD160*IF(ISERROR(VLOOKUP($H160,BioTable,5,FALSE))=TRUE,0,VLOOKUP($H160,BioTable,5,FALSE))</f>
        <v>0</v>
      </c>
      <c r="J160" s="75">
        <f>AC160*IF(ISERROR(VLOOKUP($H160,BioTable,2,FALSE))=TRUE,0,VLOOKUP($H160,BioTable,2,FALSE))</f>
        <v>0</v>
      </c>
      <c r="K160" s="53">
        <f>IF(ISERROR(VLOOKUP($H160,BioTable,4,FALSE))=TRUE,"",VLOOKUP($H160,BioTable,4,FALSE))</f>
      </c>
      <c r="L160" s="8" t="s">
        <v>180</v>
      </c>
      <c r="AA160" s="76">
        <f>VLOOKUP(E160,CybGradeTable,2,FALSE)</f>
        <v>1</v>
      </c>
      <c r="AB160" s="76">
        <f>VLOOKUP($E160,CybGradeTable,3,FALSE)</f>
        <v>1</v>
      </c>
      <c r="AC160" s="76">
        <f>VLOOKUP($L160,CybGradeTable,2,FALSE)</f>
        <v>1</v>
      </c>
      <c r="AD160" s="76">
        <f>VLOOKUP($L160,CybGradeTable,3,FALSE)</f>
        <v>1</v>
      </c>
    </row>
    <row r="161" spans="1:30" ht="10.5">
      <c r="A161" s="74"/>
      <c r="B161" s="53">
        <f>AB161*IF(ISERROR(VLOOKUP($A161,CyberTable,5,FALSE))=TRUE,0,VLOOKUP($A161,CyberTable,5,FALSE))</f>
        <v>0</v>
      </c>
      <c r="C161" s="75">
        <f>AA161*IF(ISERROR(VLOOKUP($A161,CyberTable,2,FALSE))=TRUE,0,VLOOKUP($A161,CyberTable,2,FALSE))</f>
        <v>0</v>
      </c>
      <c r="D161" s="53">
        <f>IF(ISERROR(VLOOKUP($A161,CyberTable,4,FALSE))=TRUE,"",VLOOKUP($A161,CyberTable,4,FALSE))</f>
      </c>
      <c r="E161" s="8" t="s">
        <v>180</v>
      </c>
      <c r="H161" s="8"/>
      <c r="I161" s="53">
        <f>AD161*IF(ISERROR(VLOOKUP($H161,BioTable,5,FALSE))=TRUE,0,VLOOKUP($H161,BioTable,5,FALSE))</f>
        <v>0</v>
      </c>
      <c r="J161" s="75">
        <f>AC161*IF(ISERROR(VLOOKUP($H161,BioTable,2,FALSE))=TRUE,0,VLOOKUP($H161,BioTable,2,FALSE))</f>
        <v>0</v>
      </c>
      <c r="K161" s="53">
        <f>IF(ISERROR(VLOOKUP($H161,BioTable,4,FALSE))=TRUE,"",VLOOKUP($H161,BioTable,4,FALSE))</f>
      </c>
      <c r="L161" s="8" t="s">
        <v>180</v>
      </c>
      <c r="AA161" s="76">
        <f>VLOOKUP(E161,CybGradeTable,2,FALSE)</f>
        <v>1</v>
      </c>
      <c r="AB161" s="76">
        <f>VLOOKUP($E161,CybGradeTable,3,FALSE)</f>
        <v>1</v>
      </c>
      <c r="AC161" s="76">
        <f>VLOOKUP($L161,CybGradeTable,2,FALSE)</f>
        <v>1</v>
      </c>
      <c r="AD161" s="76">
        <f>VLOOKUP($L161,CybGradeTable,3,FALSE)</f>
        <v>1</v>
      </c>
    </row>
    <row r="162" spans="1:30" ht="10.5">
      <c r="A162" s="74"/>
      <c r="B162" s="53">
        <f>AB162*IF(ISERROR(VLOOKUP($A162,CyberTable,5,FALSE))=TRUE,0,VLOOKUP($A162,CyberTable,5,FALSE))</f>
        <v>0</v>
      </c>
      <c r="C162" s="75">
        <f>AA162*IF(ISERROR(VLOOKUP($A162,CyberTable,2,FALSE))=TRUE,0,VLOOKUP($A162,CyberTable,2,FALSE))</f>
        <v>0</v>
      </c>
      <c r="D162" s="53">
        <f>IF(ISERROR(VLOOKUP($A162,CyberTable,4,FALSE))=TRUE,"",VLOOKUP($A162,CyberTable,4,FALSE))</f>
      </c>
      <c r="E162" s="8" t="s">
        <v>180</v>
      </c>
      <c r="H162" s="8"/>
      <c r="I162" s="53">
        <f>AD162*IF(ISERROR(VLOOKUP($H162,BioTable,5,FALSE))=TRUE,0,VLOOKUP($H162,BioTable,5,FALSE))</f>
        <v>0</v>
      </c>
      <c r="J162" s="75">
        <f>AC162*IF(ISERROR(VLOOKUP($H162,BioTable,2,FALSE))=TRUE,0,VLOOKUP($H162,BioTable,2,FALSE))</f>
        <v>0</v>
      </c>
      <c r="K162" s="53">
        <f>IF(ISERROR(VLOOKUP($H162,BioTable,4,FALSE))=TRUE,"",VLOOKUP($H162,BioTable,4,FALSE))</f>
      </c>
      <c r="L162" s="8" t="s">
        <v>180</v>
      </c>
      <c r="AA162" s="76">
        <f>VLOOKUP(E162,CybGradeTable,2,FALSE)</f>
        <v>1</v>
      </c>
      <c r="AB162" s="76">
        <f>VLOOKUP($E162,CybGradeTable,3,FALSE)</f>
        <v>1</v>
      </c>
      <c r="AC162" s="76">
        <f>VLOOKUP($L162,CybGradeTable,2,FALSE)</f>
        <v>1</v>
      </c>
      <c r="AD162" s="76">
        <f>VLOOKUP($L162,CybGradeTable,3,FALSE)</f>
        <v>1</v>
      </c>
    </row>
    <row r="163" spans="1:30" ht="10.5">
      <c r="A163" s="74"/>
      <c r="B163" s="53">
        <f>AB163*IF(ISERROR(VLOOKUP($A163,CyberTable,5,FALSE))=TRUE,0,VLOOKUP($A163,CyberTable,5,FALSE))</f>
        <v>0</v>
      </c>
      <c r="C163" s="75">
        <f>AA163*IF(ISERROR(VLOOKUP($A163,CyberTable,2,FALSE))=TRUE,0,VLOOKUP($A163,CyberTable,2,FALSE))</f>
        <v>0</v>
      </c>
      <c r="D163" s="53">
        <f>IF(ISERROR(VLOOKUP($A163,CyberTable,4,FALSE))=TRUE,"",VLOOKUP($A163,CyberTable,4,FALSE))</f>
      </c>
      <c r="E163" s="8" t="s">
        <v>180</v>
      </c>
      <c r="H163" s="8"/>
      <c r="I163" s="53">
        <f>AD163*IF(ISERROR(VLOOKUP($H163,BioTable,5,FALSE))=TRUE,0,VLOOKUP($H163,BioTable,5,FALSE))</f>
        <v>0</v>
      </c>
      <c r="J163" s="75">
        <f>AC163*IF(ISERROR(VLOOKUP($H163,BioTable,2,FALSE))=TRUE,0,VLOOKUP($H163,BioTable,2,FALSE))</f>
        <v>0</v>
      </c>
      <c r="K163" s="53">
        <f>IF(ISERROR(VLOOKUP($H163,BioTable,4,FALSE))=TRUE,"",VLOOKUP($H163,BioTable,4,FALSE))</f>
      </c>
      <c r="L163" s="8" t="s">
        <v>180</v>
      </c>
      <c r="AA163" s="76">
        <f>VLOOKUP(E163,CybGradeTable,2,FALSE)</f>
        <v>1</v>
      </c>
      <c r="AB163" s="76">
        <f>VLOOKUP($E163,CybGradeTable,3,FALSE)</f>
        <v>1</v>
      </c>
      <c r="AC163" s="76">
        <f>VLOOKUP($L163,CybGradeTable,2,FALSE)</f>
        <v>1</v>
      </c>
      <c r="AD163" s="76">
        <f>VLOOKUP($L163,CybGradeTable,3,FALSE)</f>
        <v>1</v>
      </c>
    </row>
    <row r="164" spans="1:30" ht="10.5">
      <c r="A164" s="74"/>
      <c r="B164" s="53">
        <f>AB164*IF(ISERROR(VLOOKUP($A164,CyberTable,5,FALSE))=TRUE,0,VLOOKUP($A164,CyberTable,5,FALSE))</f>
        <v>0</v>
      </c>
      <c r="C164" s="75">
        <f>AA164*IF(ISERROR(VLOOKUP($A164,CyberTable,2,FALSE))=TRUE,0,VLOOKUP($A164,CyberTable,2,FALSE))</f>
        <v>0</v>
      </c>
      <c r="D164" s="53">
        <f>IF(ISERROR(VLOOKUP($A164,CyberTable,4,FALSE))=TRUE,"",VLOOKUP($A164,CyberTable,4,FALSE))</f>
      </c>
      <c r="E164" s="8" t="s">
        <v>180</v>
      </c>
      <c r="H164" s="8"/>
      <c r="I164" s="53">
        <f>AD164*IF(ISERROR(VLOOKUP($H164,BioTable,5,FALSE))=TRUE,0,VLOOKUP($H164,BioTable,5,FALSE))</f>
        <v>0</v>
      </c>
      <c r="J164" s="75">
        <f>AC164*IF(ISERROR(VLOOKUP($H164,BioTable,2,FALSE))=TRUE,0,VLOOKUP($H164,BioTable,2,FALSE))</f>
        <v>0</v>
      </c>
      <c r="K164" s="53">
        <f>IF(ISERROR(VLOOKUP($H164,BioTable,4,FALSE))=TRUE,"",VLOOKUP($H164,BioTable,4,FALSE))</f>
      </c>
      <c r="L164" s="8" t="s">
        <v>180</v>
      </c>
      <c r="AA164" s="76">
        <f>VLOOKUP(E164,CybGradeTable,2,FALSE)</f>
        <v>1</v>
      </c>
      <c r="AB164" s="76">
        <f>VLOOKUP($E164,CybGradeTable,3,FALSE)</f>
        <v>1</v>
      </c>
      <c r="AC164" s="76">
        <f>VLOOKUP($L164,CybGradeTable,2,FALSE)</f>
        <v>1</v>
      </c>
      <c r="AD164" s="76">
        <f>VLOOKUP($L164,CybGradeTable,3,FALSE)</f>
        <v>1</v>
      </c>
    </row>
    <row r="165" spans="1:30" ht="10.5">
      <c r="A165" s="74"/>
      <c r="B165" s="53">
        <f>AB165*IF(ISERROR(VLOOKUP($A165,CyberTable,5,FALSE))=TRUE,0,VLOOKUP($A165,CyberTable,5,FALSE))</f>
        <v>0</v>
      </c>
      <c r="C165" s="75">
        <f>AA165*IF(ISERROR(VLOOKUP($A165,CyberTable,2,FALSE))=TRUE,0,VLOOKUP($A165,CyberTable,2,FALSE))</f>
        <v>0</v>
      </c>
      <c r="D165" s="53">
        <f>IF(ISERROR(VLOOKUP($A165,CyberTable,4,FALSE))=TRUE,"",VLOOKUP($A165,CyberTable,4,FALSE))</f>
      </c>
      <c r="E165" s="8" t="s">
        <v>180</v>
      </c>
      <c r="H165" s="8"/>
      <c r="I165" s="53">
        <f>AD165*IF(ISERROR(VLOOKUP($H165,BioTable,5,FALSE))=TRUE,0,VLOOKUP($H165,BioTable,5,FALSE))</f>
        <v>0</v>
      </c>
      <c r="J165" s="75">
        <f>AC165*IF(ISERROR(VLOOKUP($H165,BioTable,2,FALSE))=TRUE,0,VLOOKUP($H165,BioTable,2,FALSE))</f>
        <v>0</v>
      </c>
      <c r="K165" s="53">
        <f>IF(ISERROR(VLOOKUP($H165,BioTable,4,FALSE))=TRUE,"",VLOOKUP($H165,BioTable,4,FALSE))</f>
      </c>
      <c r="L165" s="8" t="s">
        <v>180</v>
      </c>
      <c r="AA165" s="76">
        <f>VLOOKUP(E165,CybGradeTable,2,FALSE)</f>
        <v>1</v>
      </c>
      <c r="AB165" s="76">
        <f>VLOOKUP($E165,CybGradeTable,3,FALSE)</f>
        <v>1</v>
      </c>
      <c r="AC165" s="76">
        <f>VLOOKUP($L165,CybGradeTable,2,FALSE)</f>
        <v>1</v>
      </c>
      <c r="AD165" s="76">
        <f>VLOOKUP($L165,CybGradeTable,3,FALSE)</f>
        <v>1</v>
      </c>
    </row>
    <row r="166" spans="1:30" ht="10.5">
      <c r="A166" s="74"/>
      <c r="B166" s="53">
        <f>AB166*IF(ISERROR(VLOOKUP($A166,CyberTable,5,FALSE))=TRUE,0,VLOOKUP($A166,CyberTable,5,FALSE))</f>
        <v>0</v>
      </c>
      <c r="C166" s="75">
        <f>AA166*IF(ISERROR(VLOOKUP($A166,CyberTable,2,FALSE))=TRUE,0,VLOOKUP($A166,CyberTable,2,FALSE))</f>
        <v>0</v>
      </c>
      <c r="D166" s="53">
        <f>IF(ISERROR(VLOOKUP($A166,CyberTable,4,FALSE))=TRUE,"",VLOOKUP($A166,CyberTable,4,FALSE))</f>
      </c>
      <c r="E166" s="8" t="s">
        <v>180</v>
      </c>
      <c r="H166" s="8"/>
      <c r="I166" s="53">
        <f>AD166*IF(ISERROR(VLOOKUP($H166,BioTable,5,FALSE))=TRUE,0,VLOOKUP($H166,BioTable,5,FALSE))</f>
        <v>0</v>
      </c>
      <c r="J166" s="75">
        <f>AC166*IF(ISERROR(VLOOKUP($H166,BioTable,2,FALSE))=TRUE,0,VLOOKUP($H166,BioTable,2,FALSE))</f>
        <v>0</v>
      </c>
      <c r="K166" s="53">
        <f>IF(ISERROR(VLOOKUP($H166,BioTable,4,FALSE))=TRUE,"",VLOOKUP($H166,BioTable,4,FALSE))</f>
      </c>
      <c r="L166" s="8" t="s">
        <v>180</v>
      </c>
      <c r="AA166" s="76">
        <f>VLOOKUP(E166,CybGradeTable,2,FALSE)</f>
        <v>1</v>
      </c>
      <c r="AB166" s="76">
        <f>VLOOKUP($E166,CybGradeTable,3,FALSE)</f>
        <v>1</v>
      </c>
      <c r="AC166" s="76">
        <f>VLOOKUP($L166,CybGradeTable,2,FALSE)</f>
        <v>1</v>
      </c>
      <c r="AD166" s="76">
        <f>VLOOKUP($L166,CybGradeTable,3,FALSE)</f>
        <v>1</v>
      </c>
    </row>
    <row r="167" spans="1:10" ht="10.5">
      <c r="A167" s="7" t="s">
        <v>36</v>
      </c>
      <c r="B167" s="77">
        <f>SUM(B155:B166)</f>
        <v>50000</v>
      </c>
      <c r="C167" s="78">
        <f>SUM(C155:C166)*IF(COUNTIF(NegQualTaken,"Sensitive System")&gt;0,2,1)</f>
        <v>2.5</v>
      </c>
      <c r="H167" s="7" t="s">
        <v>36</v>
      </c>
      <c r="I167" s="79">
        <f>SUM(I155:I166)</f>
        <v>375000</v>
      </c>
      <c r="J167" s="78">
        <f>SUM(J155:J166)</f>
        <v>4.4</v>
      </c>
    </row>
    <row r="169" spans="1:2" ht="10.5">
      <c r="A169" s="20" t="s">
        <v>187</v>
      </c>
      <c r="B169" s="80">
        <f>ROUND(MAX(C167,J167)+MIN(C167,J167)/2,2)</f>
        <v>5.65</v>
      </c>
    </row>
    <row r="171" spans="1:6" ht="10.5">
      <c r="A171" s="4" t="s">
        <v>188</v>
      </c>
      <c r="C171" s="10" t="s">
        <v>5</v>
      </c>
      <c r="D171" s="10" t="s">
        <v>189</v>
      </c>
      <c r="E171" s="10" t="s">
        <v>190</v>
      </c>
      <c r="F171" s="10" t="s">
        <v>149</v>
      </c>
    </row>
    <row r="172" spans="1:6" ht="10.5">
      <c r="A172" s="8" t="s">
        <v>191</v>
      </c>
      <c r="B172" s="8"/>
      <c r="C172" s="53">
        <f>IF(ISERROR(VLOOKUP($A172,ArmorTable,5,FALSE))=TRUE,0,VLOOKUP($A172,ArmorTable,5,FALSE))</f>
        <v>900</v>
      </c>
      <c r="D172" s="53">
        <f>IF(ISERROR(VLOOKUP($A172,ArmorTable,2,FALSE))=TRUE,0,VLOOKUP($A172,ArmorTable,2,FALSE))</f>
        <v>8</v>
      </c>
      <c r="E172" s="53">
        <f>IF(ISERROR(VLOOKUP($A172,ArmorTable,3,FALSE))=TRUE,0,VLOOKUP($A172,ArmorTable,3,FALSE))</f>
        <v>6</v>
      </c>
      <c r="F172" s="53">
        <f>IF(ISERROR(VLOOKUP($A172,ArmorTable,4,FALSE))=TRUE,0,VLOOKUP($A172,ArmorTable,4,FALSE))</f>
        <v>2</v>
      </c>
    </row>
    <row r="174" spans="1:11" ht="10.5">
      <c r="A174" s="4" t="s">
        <v>192</v>
      </c>
      <c r="B174" s="10" t="s">
        <v>5</v>
      </c>
      <c r="C174" s="10" t="s">
        <v>193</v>
      </c>
      <c r="D174" s="10" t="s">
        <v>194</v>
      </c>
      <c r="E174" s="10"/>
      <c r="H174" s="4" t="s">
        <v>195</v>
      </c>
      <c r="I174" s="10" t="s">
        <v>5</v>
      </c>
      <c r="J174" s="10" t="s">
        <v>196</v>
      </c>
      <c r="K174" s="10" t="s">
        <v>197</v>
      </c>
    </row>
    <row r="175" spans="1:11" ht="10.5">
      <c r="A175" s="56" t="s">
        <v>198</v>
      </c>
      <c r="B175" s="53">
        <f>IF(ISERROR(VLOOKUP($A175,CommlinkTable,4,FALSE))=TRUE,0,VLOOKUP($A175,CommlinkTable,4,FALSE))</f>
        <v>100</v>
      </c>
      <c r="C175" s="53">
        <f>IF(ISERROR(VLOOKUP($A175,CommlinkTable,2,FALSE))=TRUE,0,VLOOKUP($A175,CommlinkTable,2,FALSE))</f>
        <v>1</v>
      </c>
      <c r="D175" s="53">
        <f>IF(ISERROR(VLOOKUP($A175,CommlinkTable,3,FALSE))=TRUE,0,VLOOKUP($A175,CommlinkTable,3,FALSE))</f>
        <v>2</v>
      </c>
      <c r="H175" s="8" t="s">
        <v>199</v>
      </c>
      <c r="I175" s="53">
        <f>IF(ISERROR(VLOOKUP($H175,OSTable,4,FALSE))=TRUE,0,VLOOKUP($H175,OSTable,4,FALSE))</f>
        <v>200</v>
      </c>
      <c r="J175" s="79">
        <f>IF(ISERROR(VLOOKUP($H175,OSTable,2,FALSE))=TRUE,"",VLOOKUP($H175,OSTable,2,FALSE))</f>
        <v>1</v>
      </c>
      <c r="K175" s="79">
        <f>IF(ISERROR(VLOOKUP($H175,OSTable,3,FALSE))=TRUE,"",VLOOKUP($H175,OSTable,3,FALSE))</f>
        <v>1</v>
      </c>
    </row>
    <row r="176" spans="1:11" ht="10.5">
      <c r="A176" s="20" t="s">
        <v>200</v>
      </c>
      <c r="B176" s="53">
        <f>IF(C176=0,0,VLOOKUP(C177,CommUpgTable,2,FALSE))+IF(D176=0,0,VLOOKUP(D177,CommUpgTable,3,FALSE))</f>
        <v>0</v>
      </c>
      <c r="C176" s="21"/>
      <c r="D176" s="21"/>
      <c r="J176" s="65"/>
      <c r="K176" s="65"/>
    </row>
    <row r="177" spans="1:4" ht="10.5">
      <c r="A177" s="7" t="s">
        <v>201</v>
      </c>
      <c r="B177" s="53">
        <f>B175+B176</f>
        <v>100</v>
      </c>
      <c r="C177" s="53">
        <f>MIN(6,C175+C176)</f>
        <v>1</v>
      </c>
      <c r="D177" s="53">
        <f>MIN(6,D175+D176)</f>
        <v>2</v>
      </c>
    </row>
    <row r="179" spans="1:12" ht="10.5">
      <c r="A179" s="4" t="s">
        <v>137</v>
      </c>
      <c r="C179" s="10" t="s">
        <v>5</v>
      </c>
      <c r="D179" s="10" t="s">
        <v>149</v>
      </c>
      <c r="H179" s="4" t="s">
        <v>202</v>
      </c>
      <c r="I179" s="10" t="s">
        <v>203</v>
      </c>
      <c r="J179" s="10" t="s">
        <v>149</v>
      </c>
      <c r="K179" s="13"/>
      <c r="L179" s="10" t="s">
        <v>5</v>
      </c>
    </row>
    <row r="180" spans="1:12" ht="10.5">
      <c r="A180" s="81" t="s">
        <v>204</v>
      </c>
      <c r="B180" s="81"/>
      <c r="C180" s="79">
        <f>IF(ISERROR(VLOOKUP($A180,GearTable,3,FALSE))=TRUE,"",VLOOKUP($A180,GearTable,3,FALSE))</f>
        <v>12000</v>
      </c>
      <c r="D180" s="53">
        <f>IF(ISERROR(VLOOKUP($A180,GearTable,2,FALSE))=TRUE,"",VLOOKUP($A180,GearTable,2,FALSE))</f>
        <v>8</v>
      </c>
      <c r="E180" s="1" t="s">
        <v>63</v>
      </c>
      <c r="H180" s="56" t="s">
        <v>167</v>
      </c>
      <c r="I180" s="8">
        <v>15</v>
      </c>
      <c r="J180" s="53" t="str">
        <f>IF(ISERROR(VLOOKUP($H180,AmmoTable,5,FALSE))=TRUE,0,VLOOKUP($H180,AmmoTable,5,FALSE))</f>
        <v>16F</v>
      </c>
      <c r="K180" s="53"/>
      <c r="L180" s="53">
        <f>IF(ISERROR(VLOOKUP($H180,AmmoTable,6,FALSE))=TRUE,0,VLOOKUP($H180,AmmoTable,6,FALSE))*I180</f>
        <v>105</v>
      </c>
    </row>
    <row r="181" spans="1:12" ht="10.5">
      <c r="A181" s="81" t="s">
        <v>204</v>
      </c>
      <c r="B181" s="81"/>
      <c r="C181" s="79">
        <f>IF(ISERROR(VLOOKUP($A181,GearTable,3,FALSE))=TRUE,"",VLOOKUP($A181,GearTable,3,FALSE))</f>
        <v>12000</v>
      </c>
      <c r="D181" s="53">
        <f>IF(ISERROR(VLOOKUP($A181,GearTable,2,FALSE))=TRUE,"",VLOOKUP($A181,GearTable,2,FALSE))</f>
        <v>8</v>
      </c>
      <c r="E181" s="1" t="s">
        <v>59</v>
      </c>
      <c r="H181" s="56" t="s">
        <v>205</v>
      </c>
      <c r="I181" s="8">
        <v>15</v>
      </c>
      <c r="J181" s="53" t="str">
        <f>IF(ISERROR(VLOOKUP($H181,AmmoTable,5,FALSE))=TRUE,0,VLOOKUP($H181,AmmoTable,5,FALSE))</f>
        <v>4R</v>
      </c>
      <c r="K181" s="53"/>
      <c r="L181" s="53">
        <f>IF(ISERROR(VLOOKUP($H181,AmmoTable,6,FALSE))=TRUE,0,VLOOKUP($H181,AmmoTable,6,FALSE))*I181</f>
        <v>45</v>
      </c>
    </row>
    <row r="182" spans="1:12" ht="10.5">
      <c r="A182" s="81" t="s">
        <v>204</v>
      </c>
      <c r="B182" s="81"/>
      <c r="C182" s="79">
        <f>IF(ISERROR(VLOOKUP($A182,GearTable,3,FALSE))=TRUE,"",VLOOKUP($A182,GearTable,3,FALSE))</f>
        <v>12000</v>
      </c>
      <c r="D182" s="53">
        <f>IF(ISERROR(VLOOKUP($A182,GearTable,2,FALSE))=TRUE,"",VLOOKUP($A182,GearTable,2,FALSE))</f>
        <v>8</v>
      </c>
      <c r="E182" s="1" t="s">
        <v>96</v>
      </c>
      <c r="H182" s="56"/>
      <c r="I182" s="8"/>
      <c r="J182" s="53">
        <f>IF(ISERROR(VLOOKUP($H182,AmmoTable,5,FALSE))=TRUE,0,VLOOKUP($H182,AmmoTable,5,FALSE))</f>
        <v>0</v>
      </c>
      <c r="K182" s="53"/>
      <c r="L182" s="53">
        <f>IF(ISERROR(VLOOKUP($H182,AmmoTable,6,FALSE))=TRUE,0,VLOOKUP($H182,AmmoTable,6,FALSE))*I182</f>
        <v>0</v>
      </c>
    </row>
    <row r="183" spans="1:12" ht="10.5">
      <c r="A183" s="81" t="s">
        <v>206</v>
      </c>
      <c r="B183" s="81"/>
      <c r="C183" s="79">
        <f>IF(ISERROR(VLOOKUP($A183,GearTable,3,FALSE))=TRUE,"",VLOOKUP($A183,GearTable,3,FALSE))</f>
        <v>9000</v>
      </c>
      <c r="D183" s="53">
        <f>IF(ISERROR(VLOOKUP($A183,GearTable,2,FALSE))=TRUE,"",VLOOKUP($A183,GearTable,2,FALSE))</f>
        <v>8</v>
      </c>
      <c r="E183" s="1" t="s">
        <v>97</v>
      </c>
      <c r="H183" s="56"/>
      <c r="I183" s="8"/>
      <c r="J183" s="53">
        <f>IF(ISERROR(VLOOKUP($H183,AmmoTable,5,FALSE))=TRUE,0,VLOOKUP($H183,AmmoTable,5,FALSE))</f>
        <v>0</v>
      </c>
      <c r="K183" s="53"/>
      <c r="L183" s="53">
        <f>IF(ISERROR(VLOOKUP($H183,AmmoTable,6,FALSE))=TRUE,0,VLOOKUP($H183,AmmoTable,6,FALSE))*I183</f>
        <v>0</v>
      </c>
    </row>
    <row r="184" spans="1:12" ht="10.5">
      <c r="A184" s="81" t="s">
        <v>204</v>
      </c>
      <c r="B184" s="81"/>
      <c r="C184" s="79">
        <f>IF(ISERROR(VLOOKUP($A184,GearTable,3,FALSE))=TRUE,"",VLOOKUP($A184,GearTable,3,FALSE))</f>
        <v>12000</v>
      </c>
      <c r="D184" s="53">
        <f>IF(ISERROR(VLOOKUP($A184,GearTable,2,FALSE))=TRUE,"",VLOOKUP($A184,GearTable,2,FALSE))</f>
        <v>8</v>
      </c>
      <c r="E184" s="22" t="s">
        <v>111</v>
      </c>
      <c r="H184" s="56"/>
      <c r="I184" s="8"/>
      <c r="J184" s="53">
        <f>IF(ISERROR(VLOOKUP($H184,AmmoTable,5,FALSE))=TRUE,0,VLOOKUP($H184,AmmoTable,5,FALSE))</f>
        <v>0</v>
      </c>
      <c r="K184" s="53"/>
      <c r="L184" s="53">
        <f>IF(ISERROR(VLOOKUP($H184,AmmoTable,6,FALSE))=TRUE,0,VLOOKUP($H184,AmmoTable,6,FALSE))*I184</f>
        <v>0</v>
      </c>
    </row>
    <row r="185" spans="1:12" ht="10.5">
      <c r="A185" s="81" t="s">
        <v>206</v>
      </c>
      <c r="B185" s="81"/>
      <c r="C185" s="79">
        <f>IF(ISERROR(VLOOKUP($A185,GearTable,3,FALSE))=TRUE,"",VLOOKUP($A185,GearTable,3,FALSE))</f>
        <v>9000</v>
      </c>
      <c r="D185" s="53">
        <f>IF(ISERROR(VLOOKUP($A185,GearTable,2,FALSE))=TRUE,"",VLOOKUP($A185,GearTable,2,FALSE))</f>
        <v>8</v>
      </c>
      <c r="E185" s="22" t="s">
        <v>117</v>
      </c>
      <c r="H185" s="56"/>
      <c r="I185" s="8"/>
      <c r="J185" s="53">
        <f>IF(ISERROR(VLOOKUP($H185,AmmoTable,5,FALSE))=TRUE,0,VLOOKUP($H185,AmmoTable,5,FALSE))</f>
        <v>0</v>
      </c>
      <c r="K185" s="53"/>
      <c r="L185" s="53">
        <f>IF(ISERROR(VLOOKUP($H185,AmmoTable,6,FALSE))=TRUE,0,VLOOKUP($H185,AmmoTable,6,FALSE))*I185</f>
        <v>0</v>
      </c>
    </row>
    <row r="186" spans="1:12" ht="10.5">
      <c r="A186" s="81" t="s">
        <v>206</v>
      </c>
      <c r="B186" s="81"/>
      <c r="C186" s="79">
        <f>IF(ISERROR(VLOOKUP($A186,GearTable,3,FALSE))=TRUE,"",VLOOKUP($A186,GearTable,3,FALSE))</f>
        <v>9000</v>
      </c>
      <c r="D186" s="53">
        <f>IF(ISERROR(VLOOKUP($A186,GearTable,2,FALSE))=TRUE,"",VLOOKUP($A186,GearTable,2,FALSE))</f>
        <v>8</v>
      </c>
      <c r="E186" s="22" t="s">
        <v>118</v>
      </c>
      <c r="H186" s="56"/>
      <c r="I186" s="8"/>
      <c r="J186" s="53">
        <f>IF(ISERROR(VLOOKUP($H186,AmmoTable,5,FALSE))=TRUE,0,VLOOKUP($H186,AmmoTable,5,FALSE))</f>
        <v>0</v>
      </c>
      <c r="K186" s="53"/>
      <c r="L186" s="53">
        <f>IF(ISERROR(VLOOKUP($H186,AmmoTable,6,FALSE))=TRUE,0,VLOOKUP($H186,AmmoTable,6,FALSE))*I186</f>
        <v>0</v>
      </c>
    </row>
    <row r="187" spans="1:12" ht="10.5">
      <c r="A187" s="81" t="s">
        <v>206</v>
      </c>
      <c r="B187" s="81"/>
      <c r="C187" s="79">
        <f>IF(ISERROR(VLOOKUP($A187,GearTable,3,FALSE))=TRUE,"",VLOOKUP($A187,GearTable,3,FALSE))</f>
        <v>9000</v>
      </c>
      <c r="D187" s="53">
        <f>IF(ISERROR(VLOOKUP($A187,GearTable,2,FALSE))=TRUE,"",VLOOKUP($A187,GearTable,2,FALSE))</f>
        <v>8</v>
      </c>
      <c r="E187" s="1" t="s">
        <v>98</v>
      </c>
      <c r="K187" s="7" t="s">
        <v>36</v>
      </c>
      <c r="L187" s="53">
        <f>SUM(L180:L186)</f>
        <v>150</v>
      </c>
    </row>
    <row r="188" spans="1:5" ht="10.5">
      <c r="A188" s="81" t="s">
        <v>206</v>
      </c>
      <c r="B188" s="81"/>
      <c r="C188" s="79">
        <f>IF(ISERROR(VLOOKUP($A188,GearTable,3,FALSE))=TRUE,"",VLOOKUP($A188,GearTable,3,FALSE))</f>
        <v>9000</v>
      </c>
      <c r="D188" s="53">
        <f>IF(ISERROR(VLOOKUP($A188,GearTable,2,FALSE))=TRUE,"",VLOOKUP($A188,GearTable,2,FALSE))</f>
        <v>8</v>
      </c>
      <c r="E188" s="1" t="s">
        <v>207</v>
      </c>
    </row>
    <row r="189" spans="1:5" ht="10.5">
      <c r="A189" s="81" t="s">
        <v>206</v>
      </c>
      <c r="B189" s="81"/>
      <c r="C189" s="79">
        <f>IF(ISERROR(VLOOKUP($A189,GearTable,3,FALSE))=TRUE,"",VLOOKUP($A189,GearTable,3,FALSE))</f>
        <v>9000</v>
      </c>
      <c r="D189" s="53">
        <f>IF(ISERROR(VLOOKUP($A189,GearTable,2,FALSE))=TRUE,"",VLOOKUP($A189,GearTable,2,FALSE))</f>
        <v>8</v>
      </c>
      <c r="E189" s="1" t="s">
        <v>65</v>
      </c>
    </row>
    <row r="190" spans="1:5" ht="10.5">
      <c r="A190" s="81" t="s">
        <v>206</v>
      </c>
      <c r="B190" s="81"/>
      <c r="C190" s="79">
        <f>IF(ISERROR(VLOOKUP($A190,GearTable,3,FALSE))=TRUE,"",VLOOKUP($A190,GearTable,3,FALSE))</f>
        <v>9000</v>
      </c>
      <c r="D190" s="53">
        <f>IF(ISERROR(VLOOKUP($A190,GearTable,2,FALSE))=TRUE,"",VLOOKUP($A190,GearTable,2,FALSE))</f>
        <v>8</v>
      </c>
      <c r="E190" s="1" t="s">
        <v>54</v>
      </c>
    </row>
    <row r="191" spans="1:5" ht="10.5">
      <c r="A191" s="81" t="s">
        <v>206</v>
      </c>
      <c r="B191" s="81"/>
      <c r="C191" s="79">
        <f>IF(ISERROR(VLOOKUP($A191,GearTable,3,FALSE))=TRUE,"",VLOOKUP($A191,GearTable,3,FALSE))</f>
        <v>9000</v>
      </c>
      <c r="D191" s="53">
        <f>IF(ISERROR(VLOOKUP($A191,GearTable,2,FALSE))=TRUE,"",VLOOKUP($A191,GearTable,2,FALSE))</f>
        <v>8</v>
      </c>
      <c r="E191" s="1" t="s">
        <v>69</v>
      </c>
    </row>
    <row r="192" spans="1:5" ht="10.5">
      <c r="A192" s="81" t="s">
        <v>206</v>
      </c>
      <c r="B192" s="81"/>
      <c r="C192" s="79">
        <f>IF(ISERROR(VLOOKUP($A192,GearTable,3,FALSE))=TRUE,"",VLOOKUP($A192,GearTable,3,FALSE))</f>
        <v>9000</v>
      </c>
      <c r="D192" s="53">
        <f>IF(ISERROR(VLOOKUP($A192,GearTable,2,FALSE))=TRUE,"",VLOOKUP($A192,GearTable,2,FALSE))</f>
        <v>8</v>
      </c>
      <c r="E192" s="1" t="s">
        <v>80</v>
      </c>
    </row>
    <row r="193" spans="1:5" ht="12.75">
      <c r="A193" s="81" t="s">
        <v>204</v>
      </c>
      <c r="B193" s="81"/>
      <c r="C193" s="79">
        <f>IF(ISERROR(VLOOKUP($A193,GearTable,3,FALSE))=TRUE,"",VLOOKUP($A193,GearTable,3,FALSE))</f>
        <v>12000</v>
      </c>
      <c r="D193" s="53">
        <f>IF(ISERROR(VLOOKUP($A193,GearTable,2,FALSE))=TRUE,"",VLOOKUP($A193,GearTable,2,FALSE))</f>
        <v>8</v>
      </c>
      <c r="E193" t="s">
        <v>95</v>
      </c>
    </row>
    <row r="194" spans="1:5" ht="10.5">
      <c r="A194" s="81" t="s">
        <v>206</v>
      </c>
      <c r="B194" s="81"/>
      <c r="C194" s="79">
        <f>IF(ISERROR(VLOOKUP($A194,GearTable,3,FALSE))=TRUE,"",VLOOKUP($A194,GearTable,3,FALSE))</f>
        <v>9000</v>
      </c>
      <c r="D194" s="53">
        <f>IF(ISERROR(VLOOKUP($A194,GearTable,2,FALSE))=TRUE,"",VLOOKUP($A194,GearTable,2,FALSE))</f>
        <v>8</v>
      </c>
      <c r="E194" s="1" t="s">
        <v>45</v>
      </c>
    </row>
    <row r="195" spans="1:5" ht="10.5">
      <c r="A195" s="81" t="s">
        <v>208</v>
      </c>
      <c r="B195" s="81"/>
      <c r="C195" s="79">
        <f>IF(ISERROR(VLOOKUP($A195,GearTable,3,FALSE))=TRUE,"",VLOOKUP($A195,GearTable,3,FALSE))</f>
        <v>5000</v>
      </c>
      <c r="D195" s="53">
        <f>IF(ISERROR(VLOOKUP($A195,GearTable,2,FALSE))=TRUE,"",VLOOKUP($A195,GearTable,2,FALSE))</f>
        <v>4</v>
      </c>
      <c r="E195" s="1" t="s">
        <v>209</v>
      </c>
    </row>
    <row r="196" spans="1:4" ht="10.5">
      <c r="A196" s="81"/>
      <c r="B196" s="81"/>
      <c r="C196" s="79">
        <f>IF(ISERROR(VLOOKUP($A196,GearTable,3,FALSE))=TRUE,"",VLOOKUP($A196,GearTable,3,FALSE))</f>
      </c>
      <c r="D196" s="53">
        <f>IF(ISERROR(VLOOKUP($A196,GearTable,2,FALSE))=TRUE,"",VLOOKUP($A196,GearTable,2,FALSE))</f>
      </c>
    </row>
    <row r="197" spans="1:4" ht="10.5">
      <c r="A197" s="81"/>
      <c r="B197" s="81"/>
      <c r="C197" s="79">
        <f>IF(ISERROR(VLOOKUP($A197,GearTable,3,FALSE))=TRUE,"",VLOOKUP($A197,GearTable,3,FALSE))</f>
      </c>
      <c r="D197" s="53">
        <f>IF(ISERROR(VLOOKUP($A197,GearTable,2,FALSE))=TRUE,"",VLOOKUP($A197,GearTable,2,FALSE))</f>
      </c>
    </row>
    <row r="198" spans="1:4" ht="10.5">
      <c r="A198" s="81" t="s">
        <v>210</v>
      </c>
      <c r="B198" s="81"/>
      <c r="C198" s="79">
        <f>IF(ISERROR(VLOOKUP($A198,GearTable,3,FALSE))=TRUE,"",VLOOKUP($A198,GearTable,3,FALSE))</f>
        <v>50</v>
      </c>
      <c r="D198" s="53">
        <f>IF(ISERROR(VLOOKUP($A198,GearTable,2,FALSE))=TRUE,"",VLOOKUP($A198,GearTable,2,FALSE))</f>
        <v>6</v>
      </c>
    </row>
    <row r="199" spans="1:4" ht="10.5">
      <c r="A199" s="81" t="s">
        <v>211</v>
      </c>
      <c r="B199" s="81"/>
      <c r="C199" s="79">
        <f>IF(ISERROR(VLOOKUP($A199,GearTable,3,FALSE))=TRUE,"",VLOOKUP($A199,GearTable,3,FALSE))</f>
        <v>50</v>
      </c>
      <c r="D199" s="53">
        <f>IF(ISERROR(VLOOKUP($A199,GearTable,2,FALSE))=TRUE,"",VLOOKUP($A199,GearTable,2,FALSE))</f>
        <v>6</v>
      </c>
    </row>
    <row r="200" spans="1:4" ht="10.5">
      <c r="A200" s="81" t="s">
        <v>212</v>
      </c>
      <c r="B200" s="81"/>
      <c r="C200" s="79">
        <f>IF(ISERROR(VLOOKUP($A200,GearTable,3,FALSE))=TRUE,"",VLOOKUP($A200,GearTable,3,FALSE))</f>
        <v>25</v>
      </c>
      <c r="D200" s="53">
        <f>IF(ISERROR(VLOOKUP($A200,GearTable,2,FALSE))=TRUE,"",VLOOKUP($A200,GearTable,2,FALSE))</f>
      </c>
    </row>
    <row r="201" spans="1:4" ht="12">
      <c r="A201" s="82" t="s">
        <v>213</v>
      </c>
      <c r="B201" s="82"/>
      <c r="C201" s="79">
        <f>IF(ISERROR(VLOOKUP($A201,GearTable,3,FALSE))=TRUE,"",VLOOKUP($A201,GearTable,3,FALSE))</f>
        <v>100</v>
      </c>
      <c r="D201" s="53">
        <f>IF(ISERROR(VLOOKUP($A201,GearTable,2,FALSE))=TRUE,"",VLOOKUP($A201,GearTable,2,FALSE))</f>
        <v>6</v>
      </c>
    </row>
    <row r="202" spans="1:4" ht="10.5">
      <c r="A202" s="81" t="s">
        <v>214</v>
      </c>
      <c r="B202" s="81"/>
      <c r="C202" s="79">
        <f>IF(ISERROR(VLOOKUP($A202,GearTable,3,FALSE))=TRUE,"",VLOOKUP($A202,GearTable,3,FALSE))</f>
        <v>50</v>
      </c>
      <c r="D202" s="53">
        <f>IF(ISERROR(VLOOKUP($A202,GearTable,2,FALSE))=TRUE,"",VLOOKUP($A202,GearTable,2,FALSE))</f>
        <v>2</v>
      </c>
    </row>
    <row r="203" spans="1:4" ht="10.5">
      <c r="A203" s="81" t="s">
        <v>215</v>
      </c>
      <c r="B203" s="81"/>
      <c r="C203" s="79">
        <f>IF(ISERROR(VLOOKUP($A203,GearTable,3,FALSE))=TRUE,"",VLOOKUP($A203,GearTable,3,FALSE))</f>
        <v>100</v>
      </c>
      <c r="D203" s="53">
        <f>IF(ISERROR(VLOOKUP($A203,GearTable,2,FALSE))=TRUE,"",VLOOKUP($A203,GearTable,2,FALSE))</f>
        <v>2</v>
      </c>
    </row>
    <row r="204" spans="1:4" ht="10.5">
      <c r="A204" s="81" t="s">
        <v>216</v>
      </c>
      <c r="B204" s="81"/>
      <c r="C204" s="79">
        <f>IF(ISERROR(VLOOKUP($A204,GearTable,3,FALSE))=TRUE,"",VLOOKUP($A204,GearTable,3,FALSE))</f>
        <v>100</v>
      </c>
      <c r="D204" s="53">
        <f>IF(ISERROR(VLOOKUP($A204,GearTable,2,FALSE))=TRUE,"",VLOOKUP($A204,GearTable,2,FALSE))</f>
        <v>4</v>
      </c>
    </row>
    <row r="205" spans="1:4" ht="12">
      <c r="A205" s="82" t="s">
        <v>217</v>
      </c>
      <c r="B205" s="82"/>
      <c r="C205" s="79">
        <f>IF(ISERROR(VLOOKUP($A205,GearTable,3,FALSE))=TRUE,"",VLOOKUP($A205,GearTable,3,FALSE))</f>
        <v>500</v>
      </c>
      <c r="D205" s="53" t="str">
        <f>IF(ISERROR(VLOOKUP($A205,GearTable,2,FALSE))=TRUE,"",VLOOKUP($A205,GearTable,2,FALSE))</f>
        <v>4R</v>
      </c>
    </row>
    <row r="206" spans="1:4" ht="10.5">
      <c r="A206" s="81" t="s">
        <v>218</v>
      </c>
      <c r="B206" s="81"/>
      <c r="C206" s="79">
        <f>IF(ISERROR(VLOOKUP($A206,GearTable,3,FALSE))=TRUE,"",VLOOKUP($A206,GearTable,3,FALSE))</f>
        <v>300</v>
      </c>
      <c r="D206" s="53">
        <f>IF(ISERROR(VLOOKUP($A206,GearTable,2,FALSE))=TRUE,"",VLOOKUP($A206,GearTable,2,FALSE))</f>
        <v>4</v>
      </c>
    </row>
    <row r="207" spans="1:4" ht="10.5">
      <c r="A207" s="7"/>
      <c r="B207" s="7" t="s">
        <v>36</v>
      </c>
      <c r="C207" s="79">
        <f>SUM(C180:C206)</f>
        <v>156275</v>
      </c>
      <c r="D207" s="83"/>
    </row>
    <row r="208" spans="1:3" ht="10.5">
      <c r="A208" s="7"/>
      <c r="B208" s="79"/>
      <c r="C208" s="83"/>
    </row>
    <row r="209" spans="1:13" ht="19.5">
      <c r="A209" s="58" t="s">
        <v>219</v>
      </c>
      <c r="B209" s="59"/>
      <c r="C209" s="60"/>
      <c r="D209" s="61"/>
      <c r="E209" s="61"/>
      <c r="F209" s="61"/>
      <c r="G209" s="61"/>
      <c r="H209" s="61"/>
      <c r="I209" s="61"/>
      <c r="J209" s="61"/>
      <c r="K209" s="61"/>
      <c r="L209" s="61"/>
      <c r="M209" s="61"/>
    </row>
    <row r="210" spans="1:3" ht="10.5">
      <c r="A210" s="7"/>
      <c r="B210" s="79"/>
      <c r="C210" s="83"/>
    </row>
    <row r="211" spans="1:13" ht="10.5">
      <c r="A211" s="4" t="s">
        <v>220</v>
      </c>
      <c r="B211" s="10" t="s">
        <v>5</v>
      </c>
      <c r="H211" s="4" t="s">
        <v>221</v>
      </c>
      <c r="I211" s="10" t="s">
        <v>157</v>
      </c>
      <c r="J211" s="10" t="s">
        <v>222</v>
      </c>
      <c r="K211" s="10" t="s">
        <v>158</v>
      </c>
      <c r="L211" s="4" t="s">
        <v>223</v>
      </c>
      <c r="M211" s="4" t="s">
        <v>224</v>
      </c>
    </row>
    <row r="212" spans="1:13" ht="10.5">
      <c r="A212" s="8"/>
      <c r="B212" s="53">
        <f>IF(ISBLANK(A212)=TRUE,0,3)</f>
        <v>0</v>
      </c>
      <c r="H212" s="1">
        <f>IF(ISERROR(VLOOKUP($A212,SpellTable,2,FALSE))=TRUE,"",VLOOKUP($A212,SpellTable,2,FALSE))</f>
      </c>
      <c r="I212" s="13">
        <f>IF(ISERROR(VLOOKUP($A212,SpellTable,3,FALSE))=TRUE,"",VLOOKUP($A212,SpellTable,3,FALSE))</f>
      </c>
      <c r="J212" s="13">
        <f>IF(ISERROR(VLOOKUP($A212,SpellTable,4,FALSE))=TRUE,"",VLOOKUP($A212,SpellTable,4,FALSE))</f>
      </c>
      <c r="K212" s="13">
        <f>IF(ISERROR(VLOOKUP($A212,SpellTable,5,FALSE))=TRUE,"",VLOOKUP($A212,SpellTable,5,FALSE))</f>
      </c>
      <c r="L212" s="13">
        <f>IF(ISERROR(VLOOKUP($A212,SpellTable,6,FALSE))=TRUE,"",VLOOKUP($A212,SpellTable,6,FALSE))</f>
      </c>
      <c r="M212" s="13">
        <f>IF(ISERROR(VLOOKUP($A212,SpellTable,7,FALSE))=TRUE,"",VLOOKUP($A212,SpellTable,7,FALSE))</f>
      </c>
    </row>
    <row r="213" spans="1:13" ht="10.5">
      <c r="A213" s="8"/>
      <c r="B213" s="53">
        <f>IF(ISBLANK(A213)=TRUE,0,3)</f>
        <v>0</v>
      </c>
      <c r="H213" s="1">
        <f>IF(ISERROR(VLOOKUP($A213,SpellTable,2,FALSE))=TRUE,"",VLOOKUP($A213,SpellTable,2,FALSE))</f>
      </c>
      <c r="I213" s="13">
        <f>IF(ISERROR(VLOOKUP($A213,SpellTable,3,FALSE))=TRUE,"",VLOOKUP($A213,SpellTable,3,FALSE))</f>
      </c>
      <c r="J213" s="13">
        <f>IF(ISERROR(VLOOKUP($A213,SpellTable,4,FALSE))=TRUE,"",VLOOKUP($A213,SpellTable,4,FALSE))</f>
      </c>
      <c r="K213" s="13">
        <f>IF(ISERROR(VLOOKUP($A213,SpellTable,5,FALSE))=TRUE,"",VLOOKUP($A213,SpellTable,5,FALSE))</f>
      </c>
      <c r="L213" s="13">
        <f>IF(ISERROR(VLOOKUP($A213,SpellTable,6,FALSE))=TRUE,"",VLOOKUP($A213,SpellTable,6,FALSE))</f>
      </c>
      <c r="M213" s="13">
        <f>IF(ISERROR(VLOOKUP($A213,SpellTable,7,FALSE))=TRUE,"",VLOOKUP($A213,SpellTable,7,FALSE))</f>
      </c>
    </row>
    <row r="214" spans="1:13" ht="10.5">
      <c r="A214" s="8"/>
      <c r="B214" s="53">
        <f>IF(ISBLANK(A214)=TRUE,0,3)</f>
        <v>0</v>
      </c>
      <c r="H214" s="1">
        <f>IF(ISERROR(VLOOKUP($A214,SpellTable,2,FALSE))=TRUE,"",VLOOKUP($A214,SpellTable,2,FALSE))</f>
      </c>
      <c r="I214" s="13">
        <f>IF(ISERROR(VLOOKUP($A214,SpellTable,3,FALSE))=TRUE,"",VLOOKUP($A214,SpellTable,3,FALSE))</f>
      </c>
      <c r="J214" s="13">
        <f>IF(ISERROR(VLOOKUP($A214,SpellTable,4,FALSE))=TRUE,"",VLOOKUP($A214,SpellTable,4,FALSE))</f>
      </c>
      <c r="K214" s="13">
        <f>IF(ISERROR(VLOOKUP($A214,SpellTable,5,FALSE))=TRUE,"",VLOOKUP($A214,SpellTable,5,FALSE))</f>
      </c>
      <c r="L214" s="13">
        <f>IF(ISERROR(VLOOKUP($A214,SpellTable,6,FALSE))=TRUE,"",VLOOKUP($A214,SpellTable,6,FALSE))</f>
      </c>
      <c r="M214" s="13">
        <f>IF(ISERROR(VLOOKUP($A214,SpellTable,7,FALSE))=TRUE,"",VLOOKUP($A214,SpellTable,7,FALSE))</f>
      </c>
    </row>
    <row r="215" spans="1:13" ht="10.5">
      <c r="A215" s="8"/>
      <c r="B215" s="53">
        <f>IF(ISBLANK(A215)=TRUE,0,3)</f>
        <v>0</v>
      </c>
      <c r="H215" s="1">
        <f>IF(ISERROR(VLOOKUP($A215,SpellTable,2,FALSE))=TRUE,"",VLOOKUP($A215,SpellTable,2,FALSE))</f>
      </c>
      <c r="I215" s="13">
        <f>IF(ISERROR(VLOOKUP($A215,SpellTable,3,FALSE))=TRUE,"",VLOOKUP($A215,SpellTable,3,FALSE))</f>
      </c>
      <c r="J215" s="13">
        <f>IF(ISERROR(VLOOKUP($A215,SpellTable,4,FALSE))=TRUE,"",VLOOKUP($A215,SpellTable,4,FALSE))</f>
      </c>
      <c r="K215" s="13">
        <f>IF(ISERROR(VLOOKUP($A215,SpellTable,5,FALSE))=TRUE,"",VLOOKUP($A215,SpellTable,5,FALSE))</f>
      </c>
      <c r="L215" s="13">
        <f>IF(ISERROR(VLOOKUP($A215,SpellTable,6,FALSE))=TRUE,"",VLOOKUP($A215,SpellTable,6,FALSE))</f>
      </c>
      <c r="M215" s="13">
        <f>IF(ISERROR(VLOOKUP($A215,SpellTable,7,FALSE))=TRUE,"",VLOOKUP($A215,SpellTable,7,FALSE))</f>
      </c>
    </row>
    <row r="216" spans="1:13" ht="10.5">
      <c r="A216" s="8"/>
      <c r="B216" s="53">
        <f>IF(ISBLANK(A216)=TRUE,0,3)</f>
        <v>0</v>
      </c>
      <c r="H216" s="1">
        <f>IF(ISERROR(VLOOKUP($A216,SpellTable,2,FALSE))=TRUE,"",VLOOKUP($A216,SpellTable,2,FALSE))</f>
      </c>
      <c r="I216" s="13">
        <f>IF(ISERROR(VLOOKUP($A216,SpellTable,3,FALSE))=TRUE,"",VLOOKUP($A216,SpellTable,3,FALSE))</f>
      </c>
      <c r="J216" s="13">
        <f>IF(ISERROR(VLOOKUP($A216,SpellTable,4,FALSE))=TRUE,"",VLOOKUP($A216,SpellTable,4,FALSE))</f>
      </c>
      <c r="K216" s="13">
        <f>IF(ISERROR(VLOOKUP($A216,SpellTable,5,FALSE))=TRUE,"",VLOOKUP($A216,SpellTable,5,FALSE))</f>
      </c>
      <c r="L216" s="13">
        <f>IF(ISERROR(VLOOKUP($A216,SpellTable,6,FALSE))=TRUE,"",VLOOKUP($A216,SpellTable,6,FALSE))</f>
      </c>
      <c r="M216" s="13">
        <f>IF(ISERROR(VLOOKUP($A216,SpellTable,7,FALSE))=TRUE,"",VLOOKUP($A216,SpellTable,7,FALSE))</f>
      </c>
    </row>
    <row r="217" spans="1:13" ht="10.5">
      <c r="A217" s="8"/>
      <c r="B217" s="53">
        <f>IF(ISBLANK(A217)=TRUE,0,3)</f>
        <v>0</v>
      </c>
      <c r="H217" s="1">
        <f>IF(ISERROR(VLOOKUP($A217,SpellTable,2,FALSE))=TRUE,"",VLOOKUP($A217,SpellTable,2,FALSE))</f>
      </c>
      <c r="I217" s="13">
        <f>IF(ISERROR(VLOOKUP($A217,SpellTable,3,FALSE))=TRUE,"",VLOOKUP($A217,SpellTable,3,FALSE))</f>
      </c>
      <c r="J217" s="13">
        <f>IF(ISERROR(VLOOKUP($A217,SpellTable,4,FALSE))=TRUE,"",VLOOKUP($A217,SpellTable,4,FALSE))</f>
      </c>
      <c r="K217" s="13">
        <f>IF(ISERROR(VLOOKUP($A217,SpellTable,5,FALSE))=TRUE,"",VLOOKUP($A217,SpellTable,5,FALSE))</f>
      </c>
      <c r="L217" s="13">
        <f>IF(ISERROR(VLOOKUP($A217,SpellTable,6,FALSE))=TRUE,"",VLOOKUP($A217,SpellTable,6,FALSE))</f>
      </c>
      <c r="M217" s="13">
        <f>IF(ISERROR(VLOOKUP($A217,SpellTable,7,FALSE))=TRUE,"",VLOOKUP($A217,SpellTable,7,FALSE))</f>
      </c>
    </row>
    <row r="218" spans="1:13" ht="10.5">
      <c r="A218" s="8"/>
      <c r="B218" s="53">
        <f>IF(ISBLANK(A218)=TRUE,0,3)</f>
        <v>0</v>
      </c>
      <c r="H218" s="1">
        <f>IF(ISERROR(VLOOKUP($A218,SpellTable,2,FALSE))=TRUE,"",VLOOKUP($A218,SpellTable,2,FALSE))</f>
      </c>
      <c r="I218" s="13">
        <f>IF(ISERROR(VLOOKUP($A218,SpellTable,3,FALSE))=TRUE,"",VLOOKUP($A218,SpellTable,3,FALSE))</f>
      </c>
      <c r="J218" s="13">
        <f>IF(ISERROR(VLOOKUP($A218,SpellTable,4,FALSE))=TRUE,"",VLOOKUP($A218,SpellTable,4,FALSE))</f>
      </c>
      <c r="K218" s="13">
        <f>IF(ISERROR(VLOOKUP($A218,SpellTable,5,FALSE))=TRUE,"",VLOOKUP($A218,SpellTable,5,FALSE))</f>
      </c>
      <c r="L218" s="13">
        <f>IF(ISERROR(VLOOKUP($A218,SpellTable,6,FALSE))=TRUE,"",VLOOKUP($A218,SpellTable,6,FALSE))</f>
      </c>
      <c r="M218" s="13">
        <f>IF(ISERROR(VLOOKUP($A218,SpellTable,7,FALSE))=TRUE,"",VLOOKUP($A218,SpellTable,7,FALSE))</f>
      </c>
    </row>
    <row r="219" spans="1:13" ht="10.5">
      <c r="A219" s="8"/>
      <c r="B219" s="53">
        <f>IF(ISBLANK(A219)=TRUE,0,3)</f>
        <v>0</v>
      </c>
      <c r="H219" s="1">
        <f>IF(ISERROR(VLOOKUP($A219,SpellTable,2,FALSE))=TRUE,"",VLOOKUP($A219,SpellTable,2,FALSE))</f>
      </c>
      <c r="I219" s="13">
        <f>IF(ISERROR(VLOOKUP($A219,SpellTable,3,FALSE))=TRUE,"",VLOOKUP($A219,SpellTable,3,FALSE))</f>
      </c>
      <c r="J219" s="13">
        <f>IF(ISERROR(VLOOKUP($A219,SpellTable,4,FALSE))=TRUE,"",VLOOKUP($A219,SpellTable,4,FALSE))</f>
      </c>
      <c r="K219" s="13">
        <f>IF(ISERROR(VLOOKUP($A219,SpellTable,5,FALSE))=TRUE,"",VLOOKUP($A219,SpellTable,5,FALSE))</f>
      </c>
      <c r="L219" s="13">
        <f>IF(ISERROR(VLOOKUP($A219,SpellTable,6,FALSE))=TRUE,"",VLOOKUP($A219,SpellTable,6,FALSE))</f>
      </c>
      <c r="M219" s="13">
        <f>IF(ISERROR(VLOOKUP($A219,SpellTable,7,FALSE))=TRUE,"",VLOOKUP($A219,SpellTable,7,FALSE))</f>
      </c>
    </row>
    <row r="220" spans="1:13" ht="10.5">
      <c r="A220" s="8"/>
      <c r="B220" s="53">
        <f>IF(ISBLANK(A220)=TRUE,0,3)</f>
        <v>0</v>
      </c>
      <c r="H220" s="1">
        <f>IF(ISERROR(VLOOKUP($A220,SpellTable,2,FALSE))=TRUE,"",VLOOKUP($A220,SpellTable,2,FALSE))</f>
      </c>
      <c r="I220" s="13">
        <f>IF(ISERROR(VLOOKUP($A220,SpellTable,3,FALSE))=TRUE,"",VLOOKUP($A220,SpellTable,3,FALSE))</f>
      </c>
      <c r="J220" s="13">
        <f>IF(ISERROR(VLOOKUP($A220,SpellTable,4,FALSE))=TRUE,"",VLOOKUP($A220,SpellTable,4,FALSE))</f>
      </c>
      <c r="K220" s="13">
        <f>IF(ISERROR(VLOOKUP($A220,SpellTable,5,FALSE))=TRUE,"",VLOOKUP($A220,SpellTable,5,FALSE))</f>
      </c>
      <c r="L220" s="13">
        <f>IF(ISERROR(VLOOKUP($A220,SpellTable,6,FALSE))=TRUE,"",VLOOKUP($A220,SpellTable,6,FALSE))</f>
      </c>
      <c r="M220" s="13">
        <f>IF(ISERROR(VLOOKUP($A220,SpellTable,7,FALSE))=TRUE,"",VLOOKUP($A220,SpellTable,7,FALSE))</f>
      </c>
    </row>
    <row r="221" spans="1:13" ht="10.5">
      <c r="A221" s="8"/>
      <c r="B221" s="53">
        <f>IF(ISBLANK(A221)=TRUE,0,3)</f>
        <v>0</v>
      </c>
      <c r="H221" s="1">
        <f>IF(ISERROR(VLOOKUP($A221,SpellTable,2,FALSE))=TRUE,"",VLOOKUP($A221,SpellTable,2,FALSE))</f>
      </c>
      <c r="I221" s="13">
        <f>IF(ISERROR(VLOOKUP($A221,SpellTable,3,FALSE))=TRUE,"",VLOOKUP($A221,SpellTable,3,FALSE))</f>
      </c>
      <c r="J221" s="13">
        <f>IF(ISERROR(VLOOKUP($A221,SpellTable,4,FALSE))=TRUE,"",VLOOKUP($A221,SpellTable,4,FALSE))</f>
      </c>
      <c r="K221" s="13">
        <f>IF(ISERROR(VLOOKUP($A221,SpellTable,5,FALSE))=TRUE,"",VLOOKUP($A221,SpellTable,5,FALSE))</f>
      </c>
      <c r="L221" s="13">
        <f>IF(ISERROR(VLOOKUP($A221,SpellTable,6,FALSE))=TRUE,"",VLOOKUP($A221,SpellTable,6,FALSE))</f>
      </c>
      <c r="M221" s="13">
        <f>IF(ISERROR(VLOOKUP($A221,SpellTable,7,FALSE))=TRUE,"",VLOOKUP($A221,SpellTable,7,FALSE))</f>
      </c>
    </row>
    <row r="222" spans="1:13" ht="10.5">
      <c r="A222" s="8"/>
      <c r="B222" s="53">
        <f>IF(ISBLANK(A222)=TRUE,0,3)</f>
        <v>0</v>
      </c>
      <c r="H222" s="1">
        <f>IF(ISERROR(VLOOKUP($A222,SpellTable,2,FALSE))=TRUE,"",VLOOKUP($A222,SpellTable,2,FALSE))</f>
      </c>
      <c r="I222" s="13">
        <f>IF(ISERROR(VLOOKUP($A222,SpellTable,3,FALSE))=TRUE,"",VLOOKUP($A222,SpellTable,3,FALSE))</f>
      </c>
      <c r="J222" s="13">
        <f>IF(ISERROR(VLOOKUP($A222,SpellTable,4,FALSE))=TRUE,"",VLOOKUP($A222,SpellTable,4,FALSE))</f>
      </c>
      <c r="K222" s="13">
        <f>IF(ISERROR(VLOOKUP($A222,SpellTable,5,FALSE))=TRUE,"",VLOOKUP($A222,SpellTable,5,FALSE))</f>
      </c>
      <c r="L222" s="13">
        <f>IF(ISERROR(VLOOKUP($A222,SpellTable,6,FALSE))=TRUE,"",VLOOKUP($A222,SpellTable,6,FALSE))</f>
      </c>
      <c r="M222" s="13">
        <f>IF(ISERROR(VLOOKUP($A222,SpellTable,7,FALSE))=TRUE,"",VLOOKUP($A222,SpellTable,7,FALSE))</f>
      </c>
    </row>
    <row r="223" spans="1:13" ht="10.5">
      <c r="A223" s="8"/>
      <c r="B223" s="53">
        <f>IF(ISBLANK(A223)=TRUE,0,3)</f>
        <v>0</v>
      </c>
      <c r="H223" s="1">
        <f>IF(ISERROR(VLOOKUP($A223,SpellTable,2,FALSE))=TRUE,"",VLOOKUP($A223,SpellTable,2,FALSE))</f>
      </c>
      <c r="I223" s="13">
        <f>IF(ISERROR(VLOOKUP($A223,SpellTable,3,FALSE))=TRUE,"",VLOOKUP($A223,SpellTable,3,FALSE))</f>
      </c>
      <c r="J223" s="13">
        <f>IF(ISERROR(VLOOKUP($A223,SpellTable,4,FALSE))=TRUE,"",VLOOKUP($A223,SpellTable,4,FALSE))</f>
      </c>
      <c r="K223" s="13">
        <f>IF(ISERROR(VLOOKUP($A223,SpellTable,5,FALSE))=TRUE,"",VLOOKUP($A223,SpellTable,5,FALSE))</f>
      </c>
      <c r="L223" s="13">
        <f>IF(ISERROR(VLOOKUP($A223,SpellTable,6,FALSE))=TRUE,"",VLOOKUP($A223,SpellTable,6,FALSE))</f>
      </c>
      <c r="M223" s="13">
        <f>IF(ISERROR(VLOOKUP($A223,SpellTable,7,FALSE))=TRUE,"",VLOOKUP($A223,SpellTable,7,FALSE))</f>
      </c>
    </row>
    <row r="224" spans="1:2" ht="10.5">
      <c r="A224" s="7" t="s">
        <v>36</v>
      </c>
      <c r="B224" s="53">
        <f>SUM(B212:B223)</f>
        <v>0</v>
      </c>
    </row>
    <row r="225" spans="1:2" ht="10.5">
      <c r="A225" s="7"/>
      <c r="B225" s="13"/>
    </row>
    <row r="226" spans="1:2" ht="10.5">
      <c r="A226" s="37" t="str">
        <f>CONCATENATE("# of Spell slots left: ",MAX(Sheet1!B50,Sheet1!B51,AA75)*2-(12-COUNTBLANK(A212:A223)))</f>
        <v># of Spell slots left: 0</v>
      </c>
      <c r="B226" s="13"/>
    </row>
    <row r="228" spans="1:8" ht="10.5">
      <c r="A228" s="4" t="s">
        <v>225</v>
      </c>
      <c r="C228" s="10" t="s">
        <v>226</v>
      </c>
      <c r="D228" s="10" t="s">
        <v>227</v>
      </c>
      <c r="E228" s="4" t="s">
        <v>228</v>
      </c>
      <c r="H228" s="4" t="s">
        <v>229</v>
      </c>
    </row>
    <row r="229" spans="1:8" ht="10.5">
      <c r="A229" s="81"/>
      <c r="B229" s="81"/>
      <c r="C229" s="8"/>
      <c r="D229" s="75">
        <f>IF(ISERROR(VLOOKUP(A229,AdeptPowerTable,2,FALSE))=TRUE,0,VLOOKUP(A229,AdeptPowerTable,2,FALSE))*C229</f>
        <v>0</v>
      </c>
      <c r="E229" s="8"/>
      <c r="H229" s="84">
        <f>Tables!R923</f>
        <v>0</v>
      </c>
    </row>
    <row r="230" spans="1:8" ht="10.5">
      <c r="A230" s="81"/>
      <c r="B230" s="81"/>
      <c r="C230" s="8"/>
      <c r="D230" s="75">
        <f>IF(ISERROR(VLOOKUP(A230,AdeptPowerTable,2,FALSE))=TRUE,0,VLOOKUP(A230,AdeptPowerTable,2,FALSE))*C230</f>
        <v>0</v>
      </c>
      <c r="E230" s="8"/>
      <c r="H230" s="84">
        <f>Tables!R924</f>
        <v>0</v>
      </c>
    </row>
    <row r="231" spans="1:8" ht="10.5">
      <c r="A231" s="81"/>
      <c r="B231" s="81"/>
      <c r="C231" s="8"/>
      <c r="D231" s="75">
        <f>IF(ISERROR(VLOOKUP(A231,AdeptPowerTable,2,FALSE))=TRUE,0,VLOOKUP(A231,AdeptPowerTable,2,FALSE))*C231</f>
        <v>0</v>
      </c>
      <c r="E231" s="8"/>
      <c r="H231" s="84">
        <f>Tables!R925</f>
        <v>0</v>
      </c>
    </row>
    <row r="232" spans="1:8" ht="10.5">
      <c r="A232" s="81"/>
      <c r="B232" s="81"/>
      <c r="C232" s="8"/>
      <c r="D232" s="75">
        <f>IF(ISERROR(VLOOKUP(A232,AdeptPowerTable,2,FALSE))=TRUE,0,VLOOKUP(A232,AdeptPowerTable,2,FALSE))*C232</f>
        <v>0</v>
      </c>
      <c r="E232" s="8"/>
      <c r="H232" s="84">
        <f>Tables!R926</f>
        <v>0</v>
      </c>
    </row>
    <row r="233" spans="1:8" ht="10.5">
      <c r="A233" s="81"/>
      <c r="B233" s="81"/>
      <c r="C233" s="8"/>
      <c r="D233" s="75">
        <f>IF(ISERROR(VLOOKUP(A233,AdeptPowerTable,2,FALSE))=TRUE,0,VLOOKUP(A233,AdeptPowerTable,2,FALSE))*C233</f>
        <v>0</v>
      </c>
      <c r="E233" s="8"/>
      <c r="H233" s="84">
        <f>Tables!R927</f>
        <v>0</v>
      </c>
    </row>
    <row r="234" spans="1:8" ht="10.5">
      <c r="A234" s="81"/>
      <c r="B234" s="81"/>
      <c r="C234" s="8"/>
      <c r="D234" s="75">
        <f>IF(ISERROR(VLOOKUP(A234,AdeptPowerTable,2,FALSE))=TRUE,0,VLOOKUP(A234,AdeptPowerTable,2,FALSE))*C234</f>
        <v>0</v>
      </c>
      <c r="E234" s="8"/>
      <c r="H234" s="84">
        <f>Tables!R928</f>
        <v>0</v>
      </c>
    </row>
    <row r="235" spans="1:8" ht="10.5">
      <c r="A235" s="81"/>
      <c r="B235" s="81"/>
      <c r="C235" s="8"/>
      <c r="D235" s="75">
        <f>IF(ISERROR(VLOOKUP(A235,AdeptPowerTable,2,FALSE))=TRUE,0,VLOOKUP(A235,AdeptPowerTable,2,FALSE))*C235</f>
        <v>0</v>
      </c>
      <c r="E235" s="8"/>
      <c r="H235" s="84">
        <f>Tables!R929</f>
        <v>0</v>
      </c>
    </row>
    <row r="236" spans="1:8" ht="10.5">
      <c r="A236" s="81"/>
      <c r="B236" s="81"/>
      <c r="C236" s="8"/>
      <c r="D236" s="75">
        <f>IF(ISERROR(VLOOKUP(A236,AdeptPowerTable,2,FALSE))=TRUE,0,VLOOKUP(A236,AdeptPowerTable,2,FALSE))*C236</f>
        <v>0</v>
      </c>
      <c r="E236" s="8"/>
      <c r="H236" s="84">
        <f>Tables!R930</f>
        <v>0</v>
      </c>
    </row>
    <row r="237" spans="1:8" ht="10.5">
      <c r="A237" s="81"/>
      <c r="B237" s="81"/>
      <c r="C237" s="8"/>
      <c r="D237" s="75">
        <f>IF(ISERROR(VLOOKUP(A237,AdeptPowerTable,2,FALSE))=TRUE,0,VLOOKUP(A237,AdeptPowerTable,2,FALSE))*C237</f>
        <v>0</v>
      </c>
      <c r="E237" s="8"/>
      <c r="H237" s="84">
        <f>Tables!R931</f>
        <v>0</v>
      </c>
    </row>
    <row r="238" spans="1:8" ht="10.5">
      <c r="A238" s="81"/>
      <c r="B238" s="81"/>
      <c r="C238" s="8"/>
      <c r="D238" s="75">
        <f>IF(ISERROR(VLOOKUP(A238,AdeptPowerTable,2,FALSE))=TRUE,0,VLOOKUP(A238,AdeptPowerTable,2,FALSE))*C238</f>
        <v>0</v>
      </c>
      <c r="E238" s="8"/>
      <c r="H238" s="84">
        <f>Tables!R932</f>
        <v>0</v>
      </c>
    </row>
    <row r="239" spans="1:8" ht="10.5">
      <c r="A239" s="81"/>
      <c r="B239" s="81"/>
      <c r="C239" s="8"/>
      <c r="D239" s="75">
        <f>IF(ISERROR(VLOOKUP(A239,AdeptPowerTable,2,FALSE))=TRUE,0,VLOOKUP(A239,AdeptPowerTable,2,FALSE))*C239</f>
        <v>0</v>
      </c>
      <c r="E239" s="8"/>
      <c r="H239" s="84">
        <f>Tables!R933</f>
        <v>0</v>
      </c>
    </row>
    <row r="240" spans="3:4" ht="10.5">
      <c r="C240" s="20" t="s">
        <v>230</v>
      </c>
      <c r="D240" s="80">
        <f>MagicStat-SUM(D229:D239)</f>
        <v>0</v>
      </c>
    </row>
    <row r="242" spans="1:12" ht="10.5">
      <c r="A242" s="4" t="s">
        <v>231</v>
      </c>
      <c r="B242" s="4" t="s">
        <v>232</v>
      </c>
      <c r="C242" s="10" t="s">
        <v>5</v>
      </c>
      <c r="E242" s="4" t="s">
        <v>233</v>
      </c>
      <c r="F242" s="4" t="s">
        <v>234</v>
      </c>
      <c r="H242" s="10" t="s">
        <v>5</v>
      </c>
      <c r="I242" s="10" t="s">
        <v>149</v>
      </c>
      <c r="J242" s="10" t="s">
        <v>235</v>
      </c>
      <c r="K242" s="10"/>
      <c r="L242" s="10" t="s">
        <v>236</v>
      </c>
    </row>
    <row r="243" spans="1:12" ht="10.5">
      <c r="A243" s="8"/>
      <c r="B243" s="8"/>
      <c r="C243" s="53">
        <f>B243</f>
        <v>0</v>
      </c>
      <c r="E243" s="8"/>
      <c r="F243" s="8"/>
      <c r="H243" s="53">
        <f>IF(ISERROR(VLOOKUP(E243,FociTable,3,FALSE))=TRUE,0,VLOOKUP(E243,FociTable,3,FALSE))*F243</f>
        <v>0</v>
      </c>
      <c r="I243" s="53">
        <f>IF(ISERROR(VLOOKUP(E243,FociTable,2,FALSE))=TRUE,0,CONCATENATE(VLOOKUP(E243,FociTable,2,FALSE)*F243,"R"))</f>
        <v>0</v>
      </c>
      <c r="J243" s="8" t="s">
        <v>11</v>
      </c>
      <c r="L243" s="53">
        <f>IF(J243="Yes",F243,0)</f>
        <v>0</v>
      </c>
    </row>
    <row r="244" spans="1:12" ht="10.5">
      <c r="A244" s="8"/>
      <c r="B244" s="8"/>
      <c r="C244" s="53">
        <f>B244</f>
        <v>0</v>
      </c>
      <c r="E244" s="8"/>
      <c r="F244" s="8"/>
      <c r="H244" s="53">
        <f>IF(ISERROR(VLOOKUP(E244,FociTable,3,FALSE))=TRUE,0,VLOOKUP(E244,FociTable,3,FALSE))*F244</f>
        <v>0</v>
      </c>
      <c r="I244" s="53">
        <f>IF(ISERROR(VLOOKUP(E244,FociTable,2,FALSE))=TRUE,0,CONCATENATE(VLOOKUP(E244,FociTable,2,FALSE)*F244,"R"))</f>
        <v>0</v>
      </c>
      <c r="J244" s="8" t="s">
        <v>11</v>
      </c>
      <c r="L244" s="53">
        <f>IF(J244="Yes",F244,0)</f>
        <v>0</v>
      </c>
    </row>
    <row r="245" spans="1:12" ht="10.5">
      <c r="A245" s="8"/>
      <c r="B245" s="8"/>
      <c r="C245" s="53">
        <f>B245</f>
        <v>0</v>
      </c>
      <c r="E245" s="8"/>
      <c r="F245" s="8"/>
      <c r="H245" s="53">
        <f>IF(ISERROR(VLOOKUP(E245,FociTable,3,FALSE))=TRUE,0,VLOOKUP(E245,FociTable,3,FALSE))*F245</f>
        <v>0</v>
      </c>
      <c r="I245" s="53">
        <f>IF(ISERROR(VLOOKUP(E245,FociTable,2,FALSE))=TRUE,0,CONCATENATE(VLOOKUP(E245,FociTable,2,FALSE)*F245,"R"))</f>
        <v>0</v>
      </c>
      <c r="J245" s="8" t="s">
        <v>11</v>
      </c>
      <c r="L245" s="53">
        <f>IF(J245="Yes",F245,0)</f>
        <v>0</v>
      </c>
    </row>
    <row r="246" spans="1:12" ht="10.5">
      <c r="A246" s="8"/>
      <c r="B246" s="8"/>
      <c r="C246" s="53">
        <f>B246</f>
        <v>0</v>
      </c>
      <c r="E246" s="8"/>
      <c r="F246" s="8"/>
      <c r="H246" s="53">
        <f>IF(ISERROR(VLOOKUP(E246,FociTable,3,FALSE))=TRUE,0,VLOOKUP(E246,FociTable,3,FALSE))*F246</f>
        <v>0</v>
      </c>
      <c r="I246" s="53">
        <f>IF(ISERROR(VLOOKUP(E246,FociTable,2,FALSE))=TRUE,0,CONCATENATE(VLOOKUP(E246,FociTable,2,FALSE)*F246,"R"))</f>
        <v>0</v>
      </c>
      <c r="J246" s="8" t="s">
        <v>11</v>
      </c>
      <c r="L246" s="53">
        <f>IF(J246="Yes",F246,0)</f>
        <v>0</v>
      </c>
    </row>
    <row r="247" spans="1:12" ht="10.5">
      <c r="A247" s="8"/>
      <c r="B247" s="8"/>
      <c r="C247" s="53">
        <f>B247</f>
        <v>0</v>
      </c>
      <c r="E247" s="8"/>
      <c r="F247" s="8"/>
      <c r="H247" s="53">
        <f>IF(ISERROR(VLOOKUP(E247,FociTable,3,FALSE))=TRUE,0,VLOOKUP(E247,FociTable,3,FALSE))*F247</f>
        <v>0</v>
      </c>
      <c r="I247" s="53">
        <f>IF(ISERROR(VLOOKUP(E247,FociTable,2,FALSE))=TRUE,0,CONCATENATE(VLOOKUP(E247,FociTable,2,FALSE)*F247,"R"))</f>
        <v>0</v>
      </c>
      <c r="J247" s="8" t="s">
        <v>11</v>
      </c>
      <c r="L247" s="53">
        <f>IF(J247="Yes",F247,0)</f>
        <v>0</v>
      </c>
    </row>
    <row r="248" spans="1:12" ht="10.5">
      <c r="A248" s="8"/>
      <c r="B248" s="8"/>
      <c r="C248" s="53">
        <f>B248</f>
        <v>0</v>
      </c>
      <c r="E248" s="8"/>
      <c r="F248" s="8"/>
      <c r="H248" s="53">
        <f>IF(ISERROR(VLOOKUP(E248,FociTable,3,FALSE))=TRUE,0,VLOOKUP(E248,FociTable,3,FALSE))*F248</f>
        <v>0</v>
      </c>
      <c r="I248" s="53">
        <f>IF(ISERROR(VLOOKUP(E248,FociTable,2,FALSE))=TRUE,0,CONCATENATE(VLOOKUP(E248,FociTable,2,FALSE)*F248,"R"))</f>
        <v>0</v>
      </c>
      <c r="J248" s="8" t="s">
        <v>11</v>
      </c>
      <c r="L248" s="53">
        <f>IF(J248="Yes",F248,0)</f>
        <v>0</v>
      </c>
    </row>
    <row r="249" spans="2:12" ht="10.5">
      <c r="B249" s="7" t="s">
        <v>36</v>
      </c>
      <c r="C249" s="53">
        <f>SUM(C243:C248)</f>
        <v>0</v>
      </c>
      <c r="G249" s="7" t="s">
        <v>36</v>
      </c>
      <c r="H249" s="53">
        <f>SUM(H243:H248)</f>
        <v>0</v>
      </c>
      <c r="K249" s="7" t="s">
        <v>237</v>
      </c>
      <c r="L249" s="53">
        <f>SUM(L243:L248)</f>
        <v>0</v>
      </c>
    </row>
    <row r="250" spans="2:3" ht="10.5">
      <c r="B250" s="65"/>
      <c r="C250" s="85">
        <f>B250</f>
        <v>0</v>
      </c>
    </row>
    <row r="251" ht="10.5">
      <c r="A251" s="4" t="str">
        <f>CONCATENATE("# of Adept Spirit slots left: ",I16-(6-COUNTBLANK(A243:A248)))</f>
        <v># of Adept Spirit slots left: 5</v>
      </c>
    </row>
    <row r="253" spans="2:3" ht="10.5">
      <c r="B253" s="10" t="s">
        <v>234</v>
      </c>
      <c r="C253" s="10" t="s">
        <v>5</v>
      </c>
    </row>
    <row r="254" spans="1:3" ht="10.5">
      <c r="A254" s="4" t="s">
        <v>238</v>
      </c>
      <c r="B254" s="8"/>
      <c r="C254" s="53">
        <f>B254*500</f>
        <v>0</v>
      </c>
    </row>
    <row r="256" spans="1:13" ht="19.5">
      <c r="A256" s="58" t="s">
        <v>239</v>
      </c>
      <c r="B256" s="59"/>
      <c r="C256" s="60"/>
      <c r="D256" s="61"/>
      <c r="E256" s="61"/>
      <c r="F256" s="61"/>
      <c r="G256" s="61"/>
      <c r="H256" s="61"/>
      <c r="I256" s="61"/>
      <c r="J256" s="61"/>
      <c r="K256" s="61"/>
      <c r="L256" s="61"/>
      <c r="M256" s="61"/>
    </row>
    <row r="258" spans="1:10" ht="10.5">
      <c r="A258" s="4" t="s">
        <v>192</v>
      </c>
      <c r="B258" s="10" t="s">
        <v>193</v>
      </c>
      <c r="C258" s="10" t="s">
        <v>194</v>
      </c>
      <c r="H258" s="4" t="s">
        <v>195</v>
      </c>
      <c r="I258" s="10" t="s">
        <v>240</v>
      </c>
      <c r="J258" s="10" t="s">
        <v>241</v>
      </c>
    </row>
    <row r="259" spans="1:10" ht="10.5">
      <c r="A259" s="84" t="str">
        <f>CharSheet!H23</f>
        <v>Meta Link</v>
      </c>
      <c r="B259" s="53">
        <f>C177</f>
        <v>1</v>
      </c>
      <c r="C259" s="53">
        <f>D177</f>
        <v>2</v>
      </c>
      <c r="H259" s="86" t="str">
        <f>H175</f>
        <v>Vector Xim</v>
      </c>
      <c r="I259" s="53">
        <f>MAX(B273,J175)</f>
        <v>1</v>
      </c>
      <c r="J259" s="53">
        <f>MAX(B272,K175)</f>
        <v>1</v>
      </c>
    </row>
    <row r="261" spans="1:2" ht="10.5">
      <c r="A261" s="20" t="s">
        <v>242</v>
      </c>
      <c r="B261" s="53">
        <f>B259+I17</f>
        <v>5</v>
      </c>
    </row>
    <row r="262" spans="1:2" ht="10.5">
      <c r="A262" s="20" t="s">
        <v>243</v>
      </c>
      <c r="B262" s="53">
        <f>B261+1</f>
        <v>6</v>
      </c>
    </row>
    <row r="264" spans="1:2" ht="10.5">
      <c r="A264" s="20" t="s">
        <v>244</v>
      </c>
      <c r="B264" s="53">
        <f>B259+B296</f>
        <v>1</v>
      </c>
    </row>
    <row r="266" spans="1:2" ht="10.5">
      <c r="A266" s="20" t="s">
        <v>245</v>
      </c>
      <c r="B266" s="53">
        <f>J259+B283</f>
        <v>1</v>
      </c>
    </row>
    <row r="267" spans="1:2" ht="10.5">
      <c r="A267" s="20" t="s">
        <v>246</v>
      </c>
      <c r="B267" s="13">
        <f>I19+B285+IF(COUNTIF(NegQualTaken,"Sensitive Neural Structure")&gt;0,-2,0)+IF(COUNTIF(PosQualTaken,"Natural Hardening")&gt;0,1,0)</f>
        <v>5</v>
      </c>
    </row>
    <row r="268" spans="1:2" ht="10.5">
      <c r="A268" s="20" t="s">
        <v>247</v>
      </c>
      <c r="B268" s="13">
        <f>ROUNDUP(J259/2,0)+8</f>
        <v>9</v>
      </c>
    </row>
    <row r="270" spans="1:3" ht="10.5">
      <c r="A270" s="87" t="s">
        <v>248</v>
      </c>
      <c r="B270" s="61"/>
      <c r="C270" s="61"/>
    </row>
    <row r="271" spans="1:5" ht="10.5">
      <c r="A271" s="4" t="s">
        <v>249</v>
      </c>
      <c r="B271" s="10" t="s">
        <v>250</v>
      </c>
      <c r="C271" s="10" t="s">
        <v>5</v>
      </c>
      <c r="D271" s="10"/>
      <c r="E271" s="4" t="s">
        <v>229</v>
      </c>
    </row>
    <row r="272" spans="1:3" ht="10.5">
      <c r="A272" s="7" t="s">
        <v>241</v>
      </c>
      <c r="B272" s="8"/>
      <c r="C272" s="53">
        <f>IF(B272&lt;4,B272*200,B272*500)</f>
        <v>0</v>
      </c>
    </row>
    <row r="273" spans="1:3" ht="10.5">
      <c r="A273" s="7" t="s">
        <v>240</v>
      </c>
      <c r="B273" s="8"/>
      <c r="C273" s="53">
        <f>IF(B273&lt;4,B273*200,B273*500)</f>
        <v>0</v>
      </c>
    </row>
    <row r="274" ht="10.5">
      <c r="A274" s="4" t="s">
        <v>251</v>
      </c>
    </row>
    <row r="275" spans="1:3" ht="10.5">
      <c r="A275" s="7" t="s">
        <v>252</v>
      </c>
      <c r="B275" s="8"/>
      <c r="C275" s="53">
        <f>IF(B275&lt;4,B275*50,B275*100)</f>
        <v>0</v>
      </c>
    </row>
    <row r="276" spans="1:3" ht="10.5">
      <c r="A276" s="7" t="s">
        <v>253</v>
      </c>
      <c r="B276" s="8"/>
      <c r="C276" s="53">
        <f>IF(B276&lt;4,B276*50,B276*100)</f>
        <v>0</v>
      </c>
    </row>
    <row r="277" spans="1:3" ht="10.5">
      <c r="A277" s="7" t="s">
        <v>254</v>
      </c>
      <c r="B277" s="8"/>
      <c r="C277" s="53">
        <f>IF(B277&lt;4,B277*50,B277*100)</f>
        <v>0</v>
      </c>
    </row>
    <row r="278" spans="1:3" ht="10.5">
      <c r="A278" s="7" t="s">
        <v>255</v>
      </c>
      <c r="B278" s="8"/>
      <c r="C278" s="53">
        <f>IF(B278&lt;4,B278*50,B278*100)</f>
        <v>0</v>
      </c>
    </row>
    <row r="279" spans="1:3" ht="10.5">
      <c r="A279" s="7" t="s">
        <v>256</v>
      </c>
      <c r="B279" s="8"/>
      <c r="C279" s="53">
        <f>IF(B279&lt;4,B279*50,B279*100)</f>
        <v>0</v>
      </c>
    </row>
    <row r="280" spans="1:3" ht="10.5">
      <c r="A280" s="7" t="s">
        <v>257</v>
      </c>
      <c r="B280" s="8"/>
      <c r="C280" s="53">
        <f>IF(B280&lt;4,B280*50,B280*100)</f>
        <v>0</v>
      </c>
    </row>
    <row r="281" spans="1:3" ht="10.5">
      <c r="A281" s="7" t="s">
        <v>258</v>
      </c>
      <c r="B281" s="8"/>
      <c r="C281" s="53">
        <f>IF(B281&lt;4,B281*50,B281*100)</f>
        <v>0</v>
      </c>
    </row>
    <row r="282" spans="1:3" ht="10.5">
      <c r="A282" s="4" t="s">
        <v>96</v>
      </c>
      <c r="B282" s="13"/>
      <c r="C282" s="84"/>
    </row>
    <row r="283" spans="1:3" ht="10.5">
      <c r="A283" s="7" t="s">
        <v>259</v>
      </c>
      <c r="B283" s="8"/>
      <c r="C283" s="53">
        <f>IF(B283&lt;4,B283*500,B283*1000)</f>
        <v>0</v>
      </c>
    </row>
    <row r="284" spans="1:3" ht="10.5">
      <c r="A284" s="7" t="s">
        <v>260</v>
      </c>
      <c r="B284" s="8"/>
      <c r="C284" s="53">
        <f>IF(B284&lt;4,B284*500,B284*1000)</f>
        <v>0</v>
      </c>
    </row>
    <row r="285" spans="1:3" ht="10.5">
      <c r="A285" s="7" t="s">
        <v>261</v>
      </c>
      <c r="B285" s="8"/>
      <c r="C285" s="53">
        <f>IF(B285&lt;4,B285*500,B285*1000)</f>
        <v>0</v>
      </c>
    </row>
    <row r="286" spans="1:3" ht="10.5">
      <c r="A286" s="7" t="s">
        <v>262</v>
      </c>
      <c r="B286" s="8"/>
      <c r="C286" s="53">
        <f>IF(B286&lt;4,B286*500,B286*1000)</f>
        <v>0</v>
      </c>
    </row>
    <row r="287" spans="1:3" ht="10.5">
      <c r="A287" s="7" t="s">
        <v>263</v>
      </c>
      <c r="B287" s="8"/>
      <c r="C287" s="53">
        <f>IF(B287&lt;4,B287*500,B287*1000)</f>
        <v>0</v>
      </c>
    </row>
    <row r="288" spans="1:3" ht="10.5">
      <c r="A288" s="7" t="s">
        <v>264</v>
      </c>
      <c r="B288" s="8"/>
      <c r="C288" s="53">
        <f>IF(B288&lt;4,B288*500,B288*1000)</f>
        <v>0</v>
      </c>
    </row>
    <row r="289" spans="1:3" ht="10.5">
      <c r="A289" s="7" t="s">
        <v>265</v>
      </c>
      <c r="B289" s="8"/>
      <c r="C289" s="53">
        <f>IF(B289&lt;4,B289*500,B289*1000)</f>
        <v>0</v>
      </c>
    </row>
    <row r="290" spans="1:3" ht="10.5">
      <c r="A290" s="7" t="s">
        <v>266</v>
      </c>
      <c r="B290" s="8"/>
      <c r="C290" s="53">
        <f>IF(B290&lt;4,B290*500,B290*1000)</f>
        <v>0</v>
      </c>
    </row>
    <row r="291" spans="1:5" ht="10.5">
      <c r="A291" s="7" t="s">
        <v>267</v>
      </c>
      <c r="B291" s="8"/>
      <c r="C291" s="53">
        <f>IF(B291&lt;4,B291*500,B291*1000)</f>
        <v>0</v>
      </c>
      <c r="E291" s="1">
        <f>IF(B291&gt;0,CONCATENATE("+",B291," to device's Signal vs. jamming"),"")</f>
      </c>
    </row>
    <row r="292" spans="1:3" ht="10.5">
      <c r="A292" s="7" t="s">
        <v>268</v>
      </c>
      <c r="B292" s="8"/>
      <c r="C292" s="53">
        <f>IF(B292&lt;4,B292*500,B292*1000)</f>
        <v>0</v>
      </c>
    </row>
    <row r="293" spans="1:3" ht="10.5">
      <c r="A293" s="7" t="s">
        <v>269</v>
      </c>
      <c r="B293" s="8"/>
      <c r="C293" s="53">
        <f>IF(B293&lt;4,B293*500,B293*1000)</f>
        <v>0</v>
      </c>
    </row>
    <row r="294" spans="1:3" ht="10.5">
      <c r="A294" s="7" t="s">
        <v>270</v>
      </c>
      <c r="B294" s="8"/>
      <c r="C294" s="53">
        <f>IF(B294&lt;4,B294*500,B294*1000)</f>
        <v>0</v>
      </c>
    </row>
    <row r="295" spans="1:3" ht="10.5">
      <c r="A295" s="7" t="s">
        <v>271</v>
      </c>
      <c r="B295" s="8"/>
      <c r="C295" s="53">
        <f>IF(B295&lt;4,B295*500,B295*1000)</f>
        <v>0</v>
      </c>
    </row>
    <row r="296" spans="1:3" ht="10.5">
      <c r="A296" s="7" t="s">
        <v>272</v>
      </c>
      <c r="B296" s="8"/>
      <c r="C296" s="53">
        <f>IF(B296&lt;4,B296*500,B296*1000)</f>
        <v>0</v>
      </c>
    </row>
    <row r="297" spans="1:3" ht="10.5">
      <c r="A297" s="7" t="s">
        <v>273</v>
      </c>
      <c r="B297" s="8"/>
      <c r="C297" s="53">
        <f>IF(B297&lt;4,B297*500,B297*1000)</f>
        <v>0</v>
      </c>
    </row>
    <row r="298" ht="10.5">
      <c r="A298" s="4" t="s">
        <v>274</v>
      </c>
    </row>
    <row r="299" spans="1:3" ht="10.5">
      <c r="A299" s="7" t="s">
        <v>275</v>
      </c>
      <c r="B299" s="8"/>
      <c r="C299" s="53">
        <f>IF(B299&lt;4,B299*200,B299*500)</f>
        <v>0</v>
      </c>
    </row>
    <row r="300" spans="1:3" ht="10.5">
      <c r="A300" s="7" t="s">
        <v>276</v>
      </c>
      <c r="B300" s="8"/>
      <c r="C300" s="53">
        <f>IF(B300&lt;4,B300*200,B300*500)</f>
        <v>0</v>
      </c>
    </row>
    <row r="301" spans="1:3" ht="10.5">
      <c r="A301" s="7" t="s">
        <v>91</v>
      </c>
      <c r="B301" s="8"/>
      <c r="C301" s="53">
        <f>IF(B301&lt;4,B301*200,B301*500)</f>
        <v>0</v>
      </c>
    </row>
    <row r="302" spans="1:3" ht="10.5">
      <c r="A302" s="7" t="s">
        <v>277</v>
      </c>
      <c r="B302" s="8"/>
      <c r="C302" s="53">
        <f>IF(B302&lt;4,B302*200,B302*500)</f>
        <v>0</v>
      </c>
    </row>
    <row r="303" spans="1:3" ht="10.5">
      <c r="A303" s="7" t="s">
        <v>278</v>
      </c>
      <c r="B303" s="8"/>
      <c r="C303" s="53">
        <f>IF(B303&lt;4,B303*200,B303*500)</f>
        <v>0</v>
      </c>
    </row>
    <row r="304" spans="1:3" ht="10.5">
      <c r="A304" s="7" t="s">
        <v>279</v>
      </c>
      <c r="B304" s="8"/>
      <c r="C304" s="53">
        <f>IF(B304&lt;4,B304*200,B304*500)</f>
        <v>0</v>
      </c>
    </row>
    <row r="305" spans="1:3" ht="10.5">
      <c r="A305" s="7" t="s">
        <v>280</v>
      </c>
      <c r="B305" s="8"/>
      <c r="C305" s="53">
        <f>IF(B305&lt;4,B305*200,B305*500)</f>
        <v>0</v>
      </c>
    </row>
    <row r="306" spans="1:3" ht="10.5">
      <c r="A306" s="7" t="s">
        <v>281</v>
      </c>
      <c r="B306" s="8"/>
      <c r="C306" s="53">
        <f>IF(B306&lt;4,B306*200,B306*500)</f>
        <v>0</v>
      </c>
    </row>
    <row r="307" spans="1:3" ht="10.5">
      <c r="A307" s="7" t="s">
        <v>282</v>
      </c>
      <c r="B307" s="8"/>
      <c r="C307" s="53">
        <f>IF(B307&lt;4,B307*200,B307*500)</f>
        <v>0</v>
      </c>
    </row>
    <row r="308" spans="1:3" ht="10.5">
      <c r="A308" s="7" t="s">
        <v>283</v>
      </c>
      <c r="B308" s="8"/>
      <c r="C308" s="53">
        <f>IF(B308&lt;4,B308*200,B308*500)</f>
        <v>0</v>
      </c>
    </row>
    <row r="309" spans="1:3" ht="10.5">
      <c r="A309" s="7" t="s">
        <v>284</v>
      </c>
      <c r="B309" s="8"/>
      <c r="C309" s="53">
        <f>IF(B309&lt;4,B309*200,B309*500)</f>
        <v>0</v>
      </c>
    </row>
    <row r="310" spans="1:3" ht="10.5">
      <c r="A310" s="7" t="s">
        <v>285</v>
      </c>
      <c r="B310" s="8"/>
      <c r="C310" s="53">
        <f>IF(B310&lt;4,B310*200,B310*500)</f>
        <v>0</v>
      </c>
    </row>
    <row r="311" spans="1:3" ht="10.5">
      <c r="A311" s="7" t="s">
        <v>286</v>
      </c>
      <c r="B311" s="8"/>
      <c r="C311" s="53">
        <f>IF(B311&lt;4,B311*200,B311*500)</f>
        <v>0</v>
      </c>
    </row>
    <row r="312" spans="1:3" ht="10.5">
      <c r="A312" s="7" t="s">
        <v>287</v>
      </c>
      <c r="B312" s="8"/>
      <c r="C312" s="53">
        <f>IF(B312&lt;4,B312*200,B312*500)</f>
        <v>0</v>
      </c>
    </row>
    <row r="313" spans="2:3" ht="10.5">
      <c r="B313" s="7" t="s">
        <v>36</v>
      </c>
      <c r="C313" s="53">
        <f>SUM(C272:C312)</f>
        <v>0</v>
      </c>
    </row>
  </sheetData>
  <mergeCells count="55">
    <mergeCell ref="B3:D3"/>
    <mergeCell ref="B4:D4"/>
    <mergeCell ref="H4:H6"/>
    <mergeCell ref="B5:D5"/>
    <mergeCell ref="C114:D114"/>
    <mergeCell ref="F114:H114"/>
    <mergeCell ref="F115:H117"/>
    <mergeCell ref="B117:C117"/>
    <mergeCell ref="B141:C141"/>
    <mergeCell ref="B142:C142"/>
    <mergeCell ref="B143:C143"/>
    <mergeCell ref="B144:C144"/>
    <mergeCell ref="B145:C145"/>
    <mergeCell ref="B146:C146"/>
    <mergeCell ref="B147:C147"/>
    <mergeCell ref="A149:H152"/>
    <mergeCell ref="A172:B172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</mergeCells>
  <dataValidations count="24">
    <dataValidation type="list" allowBlank="1" showErrorMessage="1" sqref="B4:D4">
      <formula1>MetahumanList</formula1>
      <formula2>0</formula2>
    </dataValidation>
    <dataValidation type="list" allowBlank="1" showErrorMessage="1" sqref="B117:C117">
      <formula1>LifestyleList</formula1>
      <formula2>0</formula2>
    </dataValidation>
    <dataValidation type="list" allowBlank="1" showErrorMessage="1" sqref="H78:H82">
      <formula1>PosQualityList</formula1>
      <formula2>0</formula2>
    </dataValidation>
    <dataValidation type="list" allowBlank="1" showErrorMessage="1" sqref="H85:H89">
      <formula1>NegQualityList</formula1>
      <formula2>0</formula2>
    </dataValidation>
    <dataValidation type="list" allowBlank="1" showErrorMessage="1" sqref="B7 J243:J248">
      <formula1>"Yes,No"</formula1>
      <formula2>0</formula2>
    </dataValidation>
    <dataValidation type="list" allowBlank="1" showErrorMessage="1" sqref="A212:A223">
      <formula1>SpellList</formula1>
      <formula2>0</formula2>
    </dataValidation>
    <dataValidation type="list" allowBlank="1" showErrorMessage="1" sqref="H71:H74">
      <formula1>SkillGroupList</formula1>
      <formula2>0</formula2>
    </dataValidation>
    <dataValidation type="list" allowBlank="1" showErrorMessage="1" sqref="A123:A127">
      <formula1>MeleeWpnList</formula1>
      <formula2>0</formula2>
    </dataValidation>
    <dataValidation type="list" allowBlank="1" showErrorMessage="1" sqref="A130:A137">
      <formula1>GunsList</formula1>
      <formula2>0</formula2>
    </dataValidation>
    <dataValidation type="list" allowBlank="1" showErrorMessage="1" sqref="E130:E137 H180:H186">
      <formula1>AmmoList</formula1>
      <formula2>0</formula2>
    </dataValidation>
    <dataValidation type="list" allowBlank="1" showErrorMessage="1" sqref="A155:A166">
      <formula1>CyberList</formula1>
      <formula2>0</formula2>
    </dataValidation>
    <dataValidation type="list" allowBlank="1" showErrorMessage="1" sqref="H155:H166">
      <formula1>BioList</formula1>
      <formula2>0</formula2>
    </dataValidation>
    <dataValidation type="list" allowBlank="1" showErrorMessage="1" sqref="A172">
      <formula1>ArmorList</formula1>
      <formula2>0</formula2>
    </dataValidation>
    <dataValidation type="list" allowBlank="1" showErrorMessage="1" sqref="E7">
      <formula1>TraditionList</formula1>
      <formula2>0</formula2>
    </dataValidation>
    <dataValidation type="list" allowBlank="1" showErrorMessage="1" sqref="A175">
      <formula1>CommlinkList</formula1>
      <formula2>0</formula2>
    </dataValidation>
    <dataValidation type="list" allowBlank="1" showErrorMessage="1" sqref="H175">
      <formula1>OSList</formula1>
      <formula2>0</formula2>
    </dataValidation>
    <dataValidation type="list" allowBlank="1" showErrorMessage="1" sqref="E155:E166 L155:L166">
      <formula1>CybGradeList</formula1>
      <formula2>0</formula2>
    </dataValidation>
    <dataValidation type="list" allowBlank="1" showErrorMessage="1" sqref="A180:A206">
      <formula1>GearList</formula1>
      <formula2>0</formula2>
    </dataValidation>
    <dataValidation type="list" allowBlank="1" showErrorMessage="1" sqref="A229:A239">
      <formula1>AdeptPowerList</formula1>
      <formula2>0</formula2>
    </dataValidation>
    <dataValidation type="list" allowBlank="1" showErrorMessage="1" sqref="E243:E248">
      <formula1>FociList</formula1>
      <formula2>0</formula2>
    </dataValidation>
    <dataValidation type="whole" operator="greaterThanOrEqual" allowBlank="1" showErrorMessage="1" sqref="C11:C14 C16:C19 C21:C23">
      <formula1>0</formula1>
    </dataValidation>
    <dataValidation type="list" allowBlank="1" showErrorMessage="1" sqref="E141:E147">
      <formula1>AccBarrelList</formula1>
      <formula2>0</formula2>
    </dataValidation>
    <dataValidation type="list" allowBlank="1" showErrorMessage="1" sqref="B141:C147">
      <formula1>AccTopList</formula1>
      <formula2>0</formula2>
    </dataValidation>
    <dataValidation type="list" allowBlank="1" showErrorMessage="1" sqref="H141:H147">
      <formula1>AccUnderList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1948"/>
  <sheetViews>
    <sheetView workbookViewId="0" topLeftCell="A1185">
      <selection activeCell="AB1243" sqref="AB1243"/>
    </sheetView>
  </sheetViews>
  <sheetFormatPr defaultColWidth="9.140625" defaultRowHeight="12.75"/>
  <cols>
    <col min="1" max="1" width="23.28125" style="1" customWidth="1"/>
    <col min="2" max="2" width="4.7109375" style="1" customWidth="1"/>
    <col min="3" max="3" width="7.421875" style="1" customWidth="1"/>
    <col min="4" max="4" width="2.7109375" style="1" customWidth="1"/>
    <col min="5" max="5" width="10.421875" style="1" customWidth="1"/>
    <col min="6" max="6" width="2.7109375" style="1" customWidth="1"/>
    <col min="7" max="7" width="7.421875" style="1" customWidth="1"/>
    <col min="8" max="8" width="6.00390625" style="1" customWidth="1"/>
    <col min="9" max="9" width="7.28125" style="1" customWidth="1"/>
    <col min="10" max="10" width="7.7109375" style="1" customWidth="1"/>
    <col min="11" max="12" width="2.7109375" style="1" customWidth="1"/>
    <col min="13" max="13" width="4.421875" style="1" customWidth="1"/>
    <col min="14" max="28" width="2.7109375" style="1" customWidth="1"/>
    <col min="29" max="29" width="11.00390625" style="1" customWidth="1"/>
    <col min="30" max="30" width="13.7109375" style="1" customWidth="1"/>
    <col min="31" max="16384" width="9.140625" style="1" customWidth="1"/>
  </cols>
  <sheetData>
    <row r="1" spans="1:29" ht="10.5">
      <c r="A1" s="1" t="s">
        <v>288</v>
      </c>
      <c r="B1" s="1" t="s">
        <v>289</v>
      </c>
      <c r="C1" s="88" t="s">
        <v>290</v>
      </c>
      <c r="D1" s="88"/>
      <c r="E1" s="88"/>
      <c r="F1" s="89" t="s">
        <v>291</v>
      </c>
      <c r="G1" s="89"/>
      <c r="H1" s="89"/>
      <c r="I1" s="89" t="s">
        <v>292</v>
      </c>
      <c r="J1" s="89"/>
      <c r="K1" s="89"/>
      <c r="L1" s="89" t="s">
        <v>293</v>
      </c>
      <c r="M1" s="89"/>
      <c r="N1" s="89"/>
      <c r="O1" s="89" t="s">
        <v>294</v>
      </c>
      <c r="P1" s="89"/>
      <c r="Q1" s="89"/>
      <c r="R1" s="89" t="s">
        <v>295</v>
      </c>
      <c r="S1" s="89"/>
      <c r="T1" s="89"/>
      <c r="U1" s="89" t="s">
        <v>296</v>
      </c>
      <c r="V1" s="89"/>
      <c r="W1" s="89"/>
      <c r="X1" s="89" t="s">
        <v>297</v>
      </c>
      <c r="Y1" s="89"/>
      <c r="Z1" s="89"/>
      <c r="AA1" s="89" t="s">
        <v>298</v>
      </c>
      <c r="AB1" s="89"/>
      <c r="AC1" s="89"/>
    </row>
    <row r="2" spans="1:29" ht="10.5">
      <c r="A2" s="1" t="s">
        <v>4</v>
      </c>
      <c r="B2" s="1">
        <v>0</v>
      </c>
      <c r="C2" s="90">
        <v>1</v>
      </c>
      <c r="D2" s="23">
        <v>6</v>
      </c>
      <c r="E2" s="91">
        <v>9</v>
      </c>
      <c r="F2" s="23">
        <v>1</v>
      </c>
      <c r="G2" s="23">
        <v>6</v>
      </c>
      <c r="H2" s="91">
        <v>9</v>
      </c>
      <c r="I2" s="23">
        <v>1</v>
      </c>
      <c r="J2" s="23">
        <v>6</v>
      </c>
      <c r="K2" s="91">
        <v>9</v>
      </c>
      <c r="L2" s="23">
        <v>1</v>
      </c>
      <c r="M2" s="23">
        <v>6</v>
      </c>
      <c r="N2" s="91">
        <v>9</v>
      </c>
      <c r="O2" s="23">
        <v>1</v>
      </c>
      <c r="P2" s="23">
        <v>6</v>
      </c>
      <c r="Q2" s="91">
        <v>9</v>
      </c>
      <c r="R2" s="23">
        <v>1</v>
      </c>
      <c r="S2" s="23">
        <v>6</v>
      </c>
      <c r="T2" s="91">
        <v>9</v>
      </c>
      <c r="U2" s="23">
        <v>1</v>
      </c>
      <c r="V2" s="23">
        <v>6</v>
      </c>
      <c r="W2" s="91">
        <v>9</v>
      </c>
      <c r="X2" s="23">
        <v>1</v>
      </c>
      <c r="Y2" s="23">
        <v>6</v>
      </c>
      <c r="Z2" s="91">
        <v>9</v>
      </c>
      <c r="AA2" s="23">
        <v>2</v>
      </c>
      <c r="AB2" s="23">
        <v>12</v>
      </c>
      <c r="AC2" s="91">
        <v>18</v>
      </c>
    </row>
    <row r="3" spans="1:29" ht="10.5">
      <c r="A3" s="1" t="s">
        <v>299</v>
      </c>
      <c r="B3" s="1">
        <v>20</v>
      </c>
      <c r="C3" s="90">
        <v>4</v>
      </c>
      <c r="D3" s="23">
        <v>9</v>
      </c>
      <c r="E3" s="91">
        <v>13</v>
      </c>
      <c r="F3" s="23">
        <v>1</v>
      </c>
      <c r="G3" s="23">
        <v>6</v>
      </c>
      <c r="H3" s="91">
        <v>9</v>
      </c>
      <c r="I3" s="23">
        <v>1</v>
      </c>
      <c r="J3" s="23">
        <v>6</v>
      </c>
      <c r="K3" s="91">
        <v>9</v>
      </c>
      <c r="L3" s="23">
        <v>3</v>
      </c>
      <c r="M3" s="23">
        <v>8</v>
      </c>
      <c r="N3" s="91">
        <v>12</v>
      </c>
      <c r="O3" s="23">
        <v>1</v>
      </c>
      <c r="P3" s="23">
        <v>5</v>
      </c>
      <c r="Q3" s="91">
        <v>7</v>
      </c>
      <c r="R3" s="23">
        <v>1</v>
      </c>
      <c r="S3" s="23">
        <v>6</v>
      </c>
      <c r="T3" s="91">
        <v>9</v>
      </c>
      <c r="U3" s="23">
        <v>1</v>
      </c>
      <c r="V3" s="23">
        <v>5</v>
      </c>
      <c r="W3" s="91">
        <v>7</v>
      </c>
      <c r="X3" s="23">
        <v>1</v>
      </c>
      <c r="Y3" s="23">
        <v>6</v>
      </c>
      <c r="Z3" s="91">
        <v>9</v>
      </c>
      <c r="AA3" s="23">
        <v>2</v>
      </c>
      <c r="AB3" s="23">
        <v>12</v>
      </c>
      <c r="AC3" s="91">
        <v>18</v>
      </c>
    </row>
    <row r="4" spans="1:29" ht="10.5">
      <c r="A4" s="1" t="s">
        <v>300</v>
      </c>
      <c r="B4" s="1">
        <v>25</v>
      </c>
      <c r="C4" s="90">
        <v>2</v>
      </c>
      <c r="D4" s="23">
        <v>7</v>
      </c>
      <c r="E4" s="91">
        <v>10</v>
      </c>
      <c r="F4" s="23">
        <v>1</v>
      </c>
      <c r="G4" s="23">
        <v>6</v>
      </c>
      <c r="H4" s="91">
        <v>9</v>
      </c>
      <c r="I4" s="23">
        <v>1</v>
      </c>
      <c r="J4" s="23">
        <v>5</v>
      </c>
      <c r="K4" s="91">
        <v>7</v>
      </c>
      <c r="L4" s="23">
        <v>3</v>
      </c>
      <c r="M4" s="23">
        <v>8</v>
      </c>
      <c r="N4" s="91">
        <v>12</v>
      </c>
      <c r="O4" s="23">
        <v>1</v>
      </c>
      <c r="P4" s="23">
        <v>6</v>
      </c>
      <c r="Q4" s="91">
        <v>9</v>
      </c>
      <c r="R4" s="23">
        <v>1</v>
      </c>
      <c r="S4" s="23">
        <v>6</v>
      </c>
      <c r="T4" s="91">
        <v>9</v>
      </c>
      <c r="U4" s="23">
        <v>1</v>
      </c>
      <c r="V4" s="23">
        <v>6</v>
      </c>
      <c r="W4" s="91">
        <v>9</v>
      </c>
      <c r="X4" s="23">
        <v>2</v>
      </c>
      <c r="Y4" s="23">
        <v>7</v>
      </c>
      <c r="Z4" s="91">
        <v>10</v>
      </c>
      <c r="AA4" s="23">
        <v>2</v>
      </c>
      <c r="AB4" s="23">
        <v>11</v>
      </c>
      <c r="AC4" s="91">
        <v>16</v>
      </c>
    </row>
    <row r="5" spans="1:29" ht="10.5">
      <c r="A5" s="1" t="s">
        <v>301</v>
      </c>
      <c r="B5" s="1">
        <v>30</v>
      </c>
      <c r="C5" s="90">
        <v>1</v>
      </c>
      <c r="D5" s="23">
        <v>6</v>
      </c>
      <c r="E5" s="91">
        <v>9</v>
      </c>
      <c r="F5" s="23">
        <v>2</v>
      </c>
      <c r="G5" s="23">
        <v>7</v>
      </c>
      <c r="H5" s="91">
        <v>10</v>
      </c>
      <c r="I5" s="23">
        <v>1</v>
      </c>
      <c r="J5" s="23">
        <v>6</v>
      </c>
      <c r="K5" s="91">
        <v>9</v>
      </c>
      <c r="L5" s="23">
        <v>1</v>
      </c>
      <c r="M5" s="23">
        <v>6</v>
      </c>
      <c r="N5" s="91">
        <v>9</v>
      </c>
      <c r="O5" s="23">
        <v>3</v>
      </c>
      <c r="P5" s="23">
        <v>8</v>
      </c>
      <c r="Q5" s="91">
        <v>12</v>
      </c>
      <c r="R5" s="23">
        <v>1</v>
      </c>
      <c r="S5" s="23">
        <v>6</v>
      </c>
      <c r="T5" s="91">
        <v>9</v>
      </c>
      <c r="U5" s="23">
        <v>1</v>
      </c>
      <c r="V5" s="23">
        <v>6</v>
      </c>
      <c r="W5" s="91">
        <v>9</v>
      </c>
      <c r="X5" s="23">
        <v>1</v>
      </c>
      <c r="Y5" s="23">
        <v>6</v>
      </c>
      <c r="Z5" s="91">
        <v>9</v>
      </c>
      <c r="AA5" s="23">
        <v>2</v>
      </c>
      <c r="AB5" s="23">
        <v>12</v>
      </c>
      <c r="AC5" s="91">
        <v>18</v>
      </c>
    </row>
    <row r="6" spans="1:29" ht="10.5">
      <c r="A6" s="1" t="s">
        <v>302</v>
      </c>
      <c r="B6" s="1">
        <v>40</v>
      </c>
      <c r="C6" s="92">
        <v>5</v>
      </c>
      <c r="D6" s="50">
        <v>10</v>
      </c>
      <c r="E6" s="93">
        <v>15</v>
      </c>
      <c r="F6" s="50">
        <v>1</v>
      </c>
      <c r="G6" s="50">
        <v>5</v>
      </c>
      <c r="H6" s="93">
        <v>7</v>
      </c>
      <c r="I6" s="50">
        <v>1</v>
      </c>
      <c r="J6" s="50">
        <v>6</v>
      </c>
      <c r="K6" s="93">
        <v>9</v>
      </c>
      <c r="L6" s="50">
        <v>5</v>
      </c>
      <c r="M6" s="50">
        <v>10</v>
      </c>
      <c r="N6" s="93">
        <v>15</v>
      </c>
      <c r="O6" s="50">
        <v>1</v>
      </c>
      <c r="P6" s="50">
        <v>4</v>
      </c>
      <c r="Q6" s="93">
        <v>6</v>
      </c>
      <c r="R6" s="50">
        <v>1</v>
      </c>
      <c r="S6" s="50">
        <v>5</v>
      </c>
      <c r="T6" s="93">
        <v>7</v>
      </c>
      <c r="U6" s="50">
        <v>1</v>
      </c>
      <c r="V6" s="50">
        <v>5</v>
      </c>
      <c r="W6" s="93">
        <v>7</v>
      </c>
      <c r="X6" s="50">
        <v>1</v>
      </c>
      <c r="Y6" s="50">
        <v>6</v>
      </c>
      <c r="Z6" s="93">
        <v>9</v>
      </c>
      <c r="AA6" s="50">
        <v>2</v>
      </c>
      <c r="AB6" s="50">
        <v>11</v>
      </c>
      <c r="AC6" s="93">
        <v>16</v>
      </c>
    </row>
    <row r="7" spans="3:29" ht="10.5"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 ht="10.5">
      <c r="A8" s="1" t="s">
        <v>303</v>
      </c>
      <c r="B8" s="1">
        <f>StatBodyFinal+IF(COUNTIF(PosQualTaken,"Will to Live I")&gt;0,1,0)+IF(COUNTIF(PosQualTaken,"Will to Live II")&gt;0,2,0)+IF(COUNTIF(PosQualTaken,"Will to Live III")&gt;0,3,0)</f>
        <v>4</v>
      </c>
      <c r="C8" s="1">
        <f>MIN(10,B8)</f>
        <v>4</v>
      </c>
      <c r="D8" s="23">
        <f>MAX(1,B8-9)</f>
        <v>1</v>
      </c>
      <c r="E8" s="23" t="str">
        <f>CHOOSE(DamOverflow,"O","OO","OOO","OOOO","OOOOO","OOOOOO","OOOOOOO","OOOOOOOO","OOOOOOOOO","OOOOOOOOOO")</f>
        <v>OOOO</v>
      </c>
      <c r="F8" s="23">
        <f>CHOOSE(DamOverflowTwo,"","O","OO","OOO","OOOO","OOOOO","OOOOOO","OOOOOOO","OOOOOOOO","OOOOOOOOO","OOOOOOOOOO")</f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2" ht="10.5">
      <c r="A9" s="94" t="s">
        <v>304</v>
      </c>
      <c r="B9" s="1" t="str">
        <f>CONCATENATE("BUILD POINTS: ",Sheet1!H4,CHAR(10),"RESOURCES: ",Sheet1!F115,Tables!A9)</f>
        <v>BUILD POINTS: 0
RESOURCES: 5¥</v>
      </c>
    </row>
    <row r="10" ht="10.5">
      <c r="A10" s="4" t="s">
        <v>120</v>
      </c>
    </row>
    <row r="11" spans="1:2" ht="10.5">
      <c r="A11" s="1" t="s">
        <v>121</v>
      </c>
      <c r="B11" s="1">
        <v>5</v>
      </c>
    </row>
    <row r="12" spans="1:2" ht="10.5">
      <c r="A12" s="1" t="s">
        <v>305</v>
      </c>
      <c r="B12" s="1">
        <v>5</v>
      </c>
    </row>
    <row r="13" spans="1:2" ht="10.5">
      <c r="A13" s="1" t="s">
        <v>306</v>
      </c>
      <c r="B13" s="1">
        <v>10</v>
      </c>
    </row>
    <row r="14" spans="1:2" ht="10.5">
      <c r="A14" s="1" t="s">
        <v>307</v>
      </c>
      <c r="B14" s="1">
        <v>10</v>
      </c>
    </row>
    <row r="15" spans="1:2" ht="10.5">
      <c r="A15" s="1" t="s">
        <v>308</v>
      </c>
      <c r="B15" s="1">
        <v>5</v>
      </c>
    </row>
    <row r="16" spans="1:2" ht="10.5">
      <c r="A16" s="1" t="s">
        <v>309</v>
      </c>
      <c r="B16" s="1">
        <v>10</v>
      </c>
    </row>
    <row r="17" spans="1:2" ht="10.5">
      <c r="A17" s="1" t="s">
        <v>310</v>
      </c>
      <c r="B17" s="1">
        <v>10</v>
      </c>
    </row>
    <row r="18" spans="1:2" ht="10.5">
      <c r="A18" s="1" t="s">
        <v>311</v>
      </c>
      <c r="B18" s="1">
        <v>5</v>
      </c>
    </row>
    <row r="19" spans="1:2" ht="10.5">
      <c r="A19" s="1" t="s">
        <v>312</v>
      </c>
      <c r="B19" s="1">
        <v>20</v>
      </c>
    </row>
    <row r="20" spans="1:2" ht="10.5">
      <c r="A20" s="1" t="s">
        <v>313</v>
      </c>
      <c r="B20" s="1">
        <v>20</v>
      </c>
    </row>
    <row r="21" spans="1:2" ht="10.5">
      <c r="A21" s="1" t="s">
        <v>314</v>
      </c>
      <c r="B21" s="1">
        <v>20</v>
      </c>
    </row>
    <row r="22" spans="1:2" ht="10.5">
      <c r="A22" s="1" t="s">
        <v>315</v>
      </c>
      <c r="B22" s="1">
        <v>20</v>
      </c>
    </row>
    <row r="23" spans="1:2" ht="10.5">
      <c r="A23" s="1" t="s">
        <v>316</v>
      </c>
      <c r="B23" s="1">
        <v>20</v>
      </c>
    </row>
    <row r="24" spans="1:2" ht="10.5">
      <c r="A24" s="1" t="s">
        <v>317</v>
      </c>
      <c r="B24" s="1">
        <v>20</v>
      </c>
    </row>
    <row r="25" spans="1:2" ht="10.5">
      <c r="A25" s="1" t="s">
        <v>318</v>
      </c>
      <c r="B25" s="1">
        <v>20</v>
      </c>
    </row>
    <row r="26" spans="1:2" ht="10.5">
      <c r="A26" s="1" t="s">
        <v>319</v>
      </c>
      <c r="B26" s="1">
        <v>20</v>
      </c>
    </row>
    <row r="27" spans="1:2" ht="10.5">
      <c r="A27" s="1" t="s">
        <v>320</v>
      </c>
      <c r="B27" s="1">
        <v>5</v>
      </c>
    </row>
    <row r="28" spans="1:2" ht="10.5">
      <c r="A28" s="1" t="s">
        <v>321</v>
      </c>
      <c r="B28" s="1">
        <v>10</v>
      </c>
    </row>
    <row r="29" spans="1:2" ht="10.5">
      <c r="A29" s="1" t="s">
        <v>322</v>
      </c>
      <c r="B29" s="1">
        <v>20</v>
      </c>
    </row>
    <row r="30" spans="1:2" ht="10.5">
      <c r="A30" s="1" t="s">
        <v>323</v>
      </c>
      <c r="B30" s="1">
        <v>5</v>
      </c>
    </row>
    <row r="31" spans="1:2" ht="10.5">
      <c r="A31" s="1" t="s">
        <v>324</v>
      </c>
      <c r="B31" s="1">
        <v>5</v>
      </c>
    </row>
    <row r="32" spans="1:2" ht="10.5">
      <c r="A32" s="1" t="s">
        <v>325</v>
      </c>
      <c r="B32" s="1">
        <v>10</v>
      </c>
    </row>
    <row r="33" spans="1:2" ht="10.5">
      <c r="A33" s="1" t="s">
        <v>326</v>
      </c>
      <c r="B33" s="1">
        <v>15</v>
      </c>
    </row>
    <row r="34" spans="1:2" ht="10.5">
      <c r="A34" s="1" t="s">
        <v>327</v>
      </c>
      <c r="B34" s="1">
        <v>10</v>
      </c>
    </row>
    <row r="35" spans="1:2" ht="10.5">
      <c r="A35" s="1" t="s">
        <v>328</v>
      </c>
      <c r="B35" s="1">
        <v>5</v>
      </c>
    </row>
    <row r="36" spans="1:2" ht="10.5">
      <c r="A36" s="1" t="s">
        <v>329</v>
      </c>
      <c r="B36" s="1">
        <v>20</v>
      </c>
    </row>
    <row r="37" spans="1:2" ht="10.5">
      <c r="A37" s="1" t="s">
        <v>330</v>
      </c>
      <c r="B37" s="1">
        <v>15</v>
      </c>
    </row>
    <row r="38" spans="1:2" ht="10.5">
      <c r="A38" s="1" t="s">
        <v>331</v>
      </c>
      <c r="B38" s="1">
        <v>5</v>
      </c>
    </row>
    <row r="39" spans="1:2" ht="10.5">
      <c r="A39" s="1" t="s">
        <v>332</v>
      </c>
      <c r="B39" s="1">
        <v>10</v>
      </c>
    </row>
    <row r="40" spans="1:2" ht="10.5">
      <c r="A40" s="1" t="s">
        <v>333</v>
      </c>
      <c r="B40" s="1">
        <v>15</v>
      </c>
    </row>
    <row r="41" spans="1:2" ht="10.5">
      <c r="A41" s="1" t="s">
        <v>334</v>
      </c>
      <c r="B41" s="1">
        <v>20</v>
      </c>
    </row>
    <row r="42" spans="1:2" ht="10.5">
      <c r="A42" s="1" t="s">
        <v>335</v>
      </c>
      <c r="B42" s="1">
        <v>5</v>
      </c>
    </row>
    <row r="43" spans="1:2" ht="10.5">
      <c r="A43" s="1" t="s">
        <v>336</v>
      </c>
      <c r="B43" s="1">
        <v>10</v>
      </c>
    </row>
    <row r="44" spans="1:2" ht="10.5">
      <c r="A44" s="1" t="s">
        <v>337</v>
      </c>
      <c r="B44" s="1">
        <v>10</v>
      </c>
    </row>
    <row r="45" spans="1:2" ht="10.5">
      <c r="A45" s="1" t="s">
        <v>338</v>
      </c>
      <c r="B45" s="1">
        <v>10</v>
      </c>
    </row>
    <row r="46" spans="1:2" ht="10.5">
      <c r="A46" s="1" t="s">
        <v>339</v>
      </c>
      <c r="B46" s="1">
        <v>5</v>
      </c>
    </row>
    <row r="47" spans="1:2" ht="10.5">
      <c r="A47" s="1" t="s">
        <v>340</v>
      </c>
      <c r="B47" s="1">
        <v>15</v>
      </c>
    </row>
    <row r="48" spans="1:2" ht="10.5">
      <c r="A48" s="1" t="s">
        <v>341</v>
      </c>
      <c r="B48" s="1">
        <v>10</v>
      </c>
    </row>
    <row r="49" spans="1:2" ht="10.5">
      <c r="A49" s="1" t="s">
        <v>342</v>
      </c>
      <c r="B49" s="1">
        <v>10</v>
      </c>
    </row>
    <row r="50" spans="1:2" ht="10.5">
      <c r="A50" s="1" t="s">
        <v>343</v>
      </c>
      <c r="B50" s="1">
        <v>5</v>
      </c>
    </row>
    <row r="51" spans="1:2" ht="10.5">
      <c r="A51" s="1" t="s">
        <v>344</v>
      </c>
      <c r="B51" s="1">
        <v>10</v>
      </c>
    </row>
    <row r="52" spans="1:2" ht="10.5">
      <c r="A52" s="1" t="s">
        <v>345</v>
      </c>
      <c r="B52" s="1">
        <v>10</v>
      </c>
    </row>
    <row r="53" spans="1:2" ht="10.5">
      <c r="A53" s="1" t="s">
        <v>123</v>
      </c>
      <c r="B53" s="1">
        <v>5</v>
      </c>
    </row>
    <row r="54" spans="1:2" ht="10.5">
      <c r="A54" s="1" t="s">
        <v>346</v>
      </c>
      <c r="B54" s="1">
        <v>10</v>
      </c>
    </row>
    <row r="55" spans="1:2" ht="10.5">
      <c r="A55" s="1" t="s">
        <v>347</v>
      </c>
      <c r="B55" s="1">
        <v>5</v>
      </c>
    </row>
    <row r="56" spans="1:2" ht="10.5">
      <c r="A56" s="1" t="s">
        <v>348</v>
      </c>
      <c r="B56" s="1">
        <v>10</v>
      </c>
    </row>
    <row r="57" spans="1:2" ht="10.5">
      <c r="A57" s="1" t="s">
        <v>349</v>
      </c>
      <c r="B57" s="1">
        <v>15</v>
      </c>
    </row>
    <row r="59" ht="10.5">
      <c r="A59" s="4" t="s">
        <v>126</v>
      </c>
    </row>
    <row r="60" spans="1:2" ht="10.5">
      <c r="A60" s="1" t="s">
        <v>350</v>
      </c>
      <c r="B60" s="1">
        <v>-5</v>
      </c>
    </row>
    <row r="61" spans="1:2" ht="10.5">
      <c r="A61" s="1" t="s">
        <v>351</v>
      </c>
      <c r="B61" s="1">
        <v>-10</v>
      </c>
    </row>
    <row r="62" spans="1:2" ht="10.5">
      <c r="A62" s="1" t="s">
        <v>352</v>
      </c>
      <c r="B62" s="1">
        <v>-20</v>
      </c>
    </row>
    <row r="63" spans="1:2" ht="10.5">
      <c r="A63" s="1" t="s">
        <v>353</v>
      </c>
      <c r="B63" s="1">
        <v>-30</v>
      </c>
    </row>
    <row r="64" spans="1:2" ht="10.5">
      <c r="A64" s="1" t="s">
        <v>354</v>
      </c>
      <c r="B64" s="1">
        <v>-5</v>
      </c>
    </row>
    <row r="65" spans="1:2" ht="10.5">
      <c r="A65" s="1" t="s">
        <v>355</v>
      </c>
      <c r="B65" s="1">
        <v>-10</v>
      </c>
    </row>
    <row r="66" spans="1:2" ht="10.5">
      <c r="A66" s="1" t="s">
        <v>356</v>
      </c>
      <c r="B66" s="1">
        <v>-15</v>
      </c>
    </row>
    <row r="67" spans="1:2" ht="10.5">
      <c r="A67" s="1" t="s">
        <v>357</v>
      </c>
      <c r="B67" s="1">
        <v>-10</v>
      </c>
    </row>
    <row r="68" spans="1:2" ht="10.5">
      <c r="A68" s="1" t="s">
        <v>358</v>
      </c>
      <c r="B68" s="1">
        <v>-15</v>
      </c>
    </row>
    <row r="69" spans="1:2" ht="10.5">
      <c r="A69" s="1" t="s">
        <v>359</v>
      </c>
      <c r="B69" s="1">
        <v>-20</v>
      </c>
    </row>
    <row r="70" spans="1:2" ht="10.5">
      <c r="A70" s="1" t="s">
        <v>360</v>
      </c>
      <c r="B70" s="1">
        <v>-5</v>
      </c>
    </row>
    <row r="71" spans="1:2" ht="10.5">
      <c r="A71" s="1" t="s">
        <v>361</v>
      </c>
      <c r="B71" s="1">
        <v>-20</v>
      </c>
    </row>
    <row r="72" spans="1:2" ht="10.5">
      <c r="A72" s="1" t="s">
        <v>362</v>
      </c>
      <c r="B72" s="1">
        <v>-5</v>
      </c>
    </row>
    <row r="73" spans="1:2" ht="10.5">
      <c r="A73" s="1" t="s">
        <v>363</v>
      </c>
      <c r="B73" s="1">
        <v>-20</v>
      </c>
    </row>
    <row r="74" spans="1:2" ht="10.5">
      <c r="A74" s="1" t="s">
        <v>364</v>
      </c>
      <c r="B74" s="1">
        <v>-5</v>
      </c>
    </row>
    <row r="75" spans="1:2" ht="10.5">
      <c r="A75" s="1" t="s">
        <v>365</v>
      </c>
      <c r="B75" s="1">
        <v>-5</v>
      </c>
    </row>
    <row r="76" spans="1:2" ht="10.5">
      <c r="A76" s="1" t="s">
        <v>366</v>
      </c>
      <c r="B76" s="1">
        <v>-10</v>
      </c>
    </row>
    <row r="77" spans="1:2" ht="10.5">
      <c r="A77" s="1" t="s">
        <v>367</v>
      </c>
      <c r="B77" s="1">
        <v>-15</v>
      </c>
    </row>
    <row r="78" spans="1:2" ht="10.5">
      <c r="A78" s="1" t="s">
        <v>368</v>
      </c>
      <c r="B78" s="1">
        <v>-20</v>
      </c>
    </row>
    <row r="79" spans="1:2" ht="10.5">
      <c r="A79" s="1" t="s">
        <v>369</v>
      </c>
      <c r="B79" s="1">
        <v>-5</v>
      </c>
    </row>
    <row r="80" spans="1:2" ht="10.5">
      <c r="A80" s="1" t="s">
        <v>370</v>
      </c>
      <c r="B80" s="1">
        <v>-20</v>
      </c>
    </row>
    <row r="81" spans="1:2" ht="10.5">
      <c r="A81" s="1" t="s">
        <v>371</v>
      </c>
      <c r="B81" s="1">
        <v>-10</v>
      </c>
    </row>
    <row r="82" spans="1:2" ht="10.5">
      <c r="A82" s="1" t="s">
        <v>372</v>
      </c>
      <c r="B82" s="1">
        <v>-5</v>
      </c>
    </row>
    <row r="83" spans="1:2" ht="10.5">
      <c r="A83" s="1" t="s">
        <v>373</v>
      </c>
      <c r="B83" s="1">
        <f>IF(Sheet1!$B$7="Yes",-10,-5)</f>
        <v>-5</v>
      </c>
    </row>
    <row r="84" spans="1:2" ht="10.5">
      <c r="A84" s="1" t="s">
        <v>374</v>
      </c>
      <c r="B84" s="1">
        <f>IF(Sheet1!$B$7="Yes",-10,-5)</f>
        <v>-5</v>
      </c>
    </row>
    <row r="85" spans="1:2" ht="10.5">
      <c r="A85" s="1" t="s">
        <v>375</v>
      </c>
      <c r="B85" s="1">
        <v>-15</v>
      </c>
    </row>
    <row r="86" spans="1:2" ht="10.5">
      <c r="A86" s="1" t="s">
        <v>376</v>
      </c>
      <c r="B86" s="1">
        <f>IF(Sheet1!$B$7="Yes",-15,-10)</f>
        <v>-10</v>
      </c>
    </row>
    <row r="87" spans="1:2" ht="10.5">
      <c r="A87" s="1" t="s">
        <v>377</v>
      </c>
      <c r="B87" s="1">
        <v>-5</v>
      </c>
    </row>
    <row r="88" spans="1:2" ht="10.5">
      <c r="A88" s="1" t="s">
        <v>378</v>
      </c>
      <c r="B88" s="1">
        <v>-10</v>
      </c>
    </row>
    <row r="89" spans="1:2" ht="10.5">
      <c r="A89" s="1" t="s">
        <v>379</v>
      </c>
      <c r="B89" s="1">
        <v>-10</v>
      </c>
    </row>
    <row r="90" spans="1:2" ht="10.5">
      <c r="A90" s="1" t="s">
        <v>380</v>
      </c>
      <c r="B90" s="1">
        <v>-20</v>
      </c>
    </row>
    <row r="91" spans="1:2" ht="10.5">
      <c r="A91" s="1" t="s">
        <v>381</v>
      </c>
      <c r="B91" s="1">
        <v>-20</v>
      </c>
    </row>
    <row r="92" spans="1:2" ht="10.5">
      <c r="A92" s="1" t="s">
        <v>382</v>
      </c>
      <c r="B92" s="1">
        <v>-5</v>
      </c>
    </row>
    <row r="94" spans="1:2" ht="10.5">
      <c r="A94" s="7" t="s">
        <v>383</v>
      </c>
      <c r="B94" s="1">
        <f>MagicStat</f>
        <v>0</v>
      </c>
    </row>
    <row r="95" spans="1:2" ht="10.5">
      <c r="A95" s="7" t="s">
        <v>384</v>
      </c>
      <c r="B95" s="1">
        <f>MiscUtils!B31</f>
        <v>8</v>
      </c>
    </row>
    <row r="97" spans="1:2" ht="10.5">
      <c r="A97" s="4" t="s">
        <v>385</v>
      </c>
      <c r="B97" s="4" t="s">
        <v>386</v>
      </c>
    </row>
    <row r="98" spans="1:3" ht="10.5">
      <c r="A98" s="1" t="s">
        <v>13</v>
      </c>
      <c r="B98" s="1">
        <f>Sheet1!I18</f>
        <v>4</v>
      </c>
      <c r="C98" s="1" t="s">
        <v>31</v>
      </c>
    </row>
    <row r="99" spans="1:3" ht="10.5">
      <c r="A99" s="1" t="s">
        <v>387</v>
      </c>
      <c r="B99" s="1">
        <f>Sheet1!I16</f>
        <v>5</v>
      </c>
      <c r="C99" s="1" t="s">
        <v>29</v>
      </c>
    </row>
    <row r="101" spans="1:3" ht="10.5">
      <c r="A101" s="7" t="s">
        <v>388</v>
      </c>
      <c r="B101" s="1">
        <f>IF(ISERROR(VLOOKUP(Sheet1!E7,TraditionTable,2,FALSE))=TRUE,0,VLOOKUP(Sheet1!E7,TraditionTable,2,FALSE))</f>
        <v>4</v>
      </c>
      <c r="C101" s="1" t="str">
        <f>IF(ISERROR(VLOOKUP(Sheet1!E7,TraditionTable,3,FALSE))=TRUE,"",VLOOKUP(Sheet1!E7,TraditionTable,3,FALSE))</f>
        <v>Logic</v>
      </c>
    </row>
    <row r="103" spans="1:8" ht="10.5">
      <c r="A103" s="4" t="s">
        <v>220</v>
      </c>
      <c r="B103" s="1" t="s">
        <v>221</v>
      </c>
      <c r="C103" s="1" t="s">
        <v>157</v>
      </c>
      <c r="D103" s="1" t="s">
        <v>222</v>
      </c>
      <c r="E103" s="1" t="s">
        <v>158</v>
      </c>
      <c r="F103" s="1" t="s">
        <v>223</v>
      </c>
      <c r="G103" s="1" t="s">
        <v>389</v>
      </c>
      <c r="H103" s="1" t="s">
        <v>390</v>
      </c>
    </row>
    <row r="104" ht="10.5">
      <c r="A104" s="1" t="s">
        <v>391</v>
      </c>
    </row>
    <row r="105" spans="1:29" ht="12.75">
      <c r="A105" s="1" t="s">
        <v>392</v>
      </c>
      <c r="B105" s="1" t="s">
        <v>393</v>
      </c>
      <c r="C105" s="1" t="s">
        <v>394</v>
      </c>
      <c r="D105" s="1" t="s">
        <v>395</v>
      </c>
      <c r="E105" s="1" t="str">
        <f>CONCATENATE($B$94,"P")</f>
        <v>0P</v>
      </c>
      <c r="F105" s="1" t="s">
        <v>396</v>
      </c>
      <c r="G105" s="1">
        <f>ROUNDDOWN($B$94/2,0)+3</f>
        <v>3</v>
      </c>
      <c r="H105" s="1">
        <f>ROUNDDOWN($B$95/2,0)+3</f>
        <v>7</v>
      </c>
      <c r="AC105" s="95"/>
    </row>
    <row r="106" spans="1:29" ht="12.75">
      <c r="A106" s="1" t="s">
        <v>397</v>
      </c>
      <c r="B106" s="1" t="s">
        <v>398</v>
      </c>
      <c r="C106" s="1" t="s">
        <v>394</v>
      </c>
      <c r="D106" s="1" t="str">
        <f>CONCATENATE("LOS (Radius: ",$B$94,"m)")</f>
        <v>LOS (Radius: 0m)</v>
      </c>
      <c r="E106" s="1" t="str">
        <f>CONCATENATE($B$94,"P")</f>
        <v>0P</v>
      </c>
      <c r="F106" s="1" t="s">
        <v>396</v>
      </c>
      <c r="G106" s="1">
        <f>ROUNDDOWN($B$94/2,0)+5</f>
        <v>5</v>
      </c>
      <c r="H106" s="1">
        <f>ROUNDDOWN($B$95/2,0)+5</f>
        <v>9</v>
      </c>
      <c r="AC106" s="95"/>
    </row>
    <row r="107" spans="1:29" ht="12.75">
      <c r="A107" s="1" t="s">
        <v>399</v>
      </c>
      <c r="B107" s="1" t="s">
        <v>400</v>
      </c>
      <c r="C107" s="1" t="s">
        <v>394</v>
      </c>
      <c r="D107" s="1" t="s">
        <v>401</v>
      </c>
      <c r="E107" s="1" t="str">
        <f>CONCATENATE($B$94,"S")</f>
        <v>0S</v>
      </c>
      <c r="F107" s="1" t="s">
        <v>396</v>
      </c>
      <c r="G107" s="1">
        <f>MAX(1,ROUNDDOWN($B$94/2,0)-2)</f>
        <v>1</v>
      </c>
      <c r="H107" s="1">
        <f>MAX(1,ROUNDDOWN($B$95/2,0)-2)</f>
        <v>2</v>
      </c>
      <c r="AC107" s="95"/>
    </row>
    <row r="108" spans="1:29" ht="12.75">
      <c r="A108" s="1" t="s">
        <v>402</v>
      </c>
      <c r="B108" s="1" t="s">
        <v>403</v>
      </c>
      <c r="C108" s="1" t="s">
        <v>394</v>
      </c>
      <c r="D108" s="1" t="s">
        <v>395</v>
      </c>
      <c r="E108" s="1" t="str">
        <f>CONCATENATE($B$94,"S")</f>
        <v>0S</v>
      </c>
      <c r="F108" s="1" t="s">
        <v>396</v>
      </c>
      <c r="G108" s="1">
        <f>ROUNDDOWN($B$94/2,0)</f>
        <v>0</v>
      </c>
      <c r="H108" s="1">
        <f>ROUNDDOWN($B$95/2,0)</f>
        <v>4</v>
      </c>
      <c r="AC108" s="95"/>
    </row>
    <row r="109" spans="1:29" ht="12.75">
      <c r="A109" s="1" t="s">
        <v>404</v>
      </c>
      <c r="B109" s="1" t="s">
        <v>405</v>
      </c>
      <c r="C109" s="1" t="s">
        <v>394</v>
      </c>
      <c r="D109" s="1" t="str">
        <f>CONCATENATE("LOS (Radius: ",$B$94,"m)")</f>
        <v>LOS (Radius: 0m)</v>
      </c>
      <c r="E109" s="1" t="str">
        <f>CONCATENATE($B$94,"S")</f>
        <v>0S</v>
      </c>
      <c r="F109" s="1" t="s">
        <v>396</v>
      </c>
      <c r="G109" s="1">
        <f>ROUNDDOWN($B$94/2,0)+2</f>
        <v>2</v>
      </c>
      <c r="H109" s="1">
        <f>ROUNDDOWN($B$95/2,0)+2</f>
        <v>6</v>
      </c>
      <c r="AC109" s="95"/>
    </row>
    <row r="110" spans="1:29" ht="12.75">
      <c r="A110" s="1" t="s">
        <v>406</v>
      </c>
      <c r="B110" s="1" t="s">
        <v>407</v>
      </c>
      <c r="C110" s="1" t="s">
        <v>163</v>
      </c>
      <c r="D110" s="1" t="s">
        <v>401</v>
      </c>
      <c r="E110" s="1" t="str">
        <f aca="true" t="shared" si="0" ref="E110:E115">CONCATENATE($B$94,"P")</f>
        <v>0P</v>
      </c>
      <c r="F110" s="1" t="s">
        <v>396</v>
      </c>
      <c r="G110" s="1">
        <f>MAX(1,ROUNDDOWN($B$94/2,0)-2)</f>
        <v>1</v>
      </c>
      <c r="H110" s="1">
        <f>MAX(1,ROUNDDOWN($B$95/2,0)-2)</f>
        <v>2</v>
      </c>
      <c r="AC110" s="95"/>
    </row>
    <row r="111" spans="1:29" ht="12.75">
      <c r="A111" s="1" t="s">
        <v>408</v>
      </c>
      <c r="B111" s="1" t="s">
        <v>409</v>
      </c>
      <c r="C111" s="1" t="s">
        <v>163</v>
      </c>
      <c r="D111" s="1" t="s">
        <v>395</v>
      </c>
      <c r="E111" s="1" t="str">
        <f t="shared" si="0"/>
        <v>0P</v>
      </c>
      <c r="F111" s="1" t="s">
        <v>396</v>
      </c>
      <c r="G111" s="1">
        <f>ROUNDDOWN($B$94/2,0)</f>
        <v>0</v>
      </c>
      <c r="H111" s="1">
        <f>ROUNDDOWN($B$95/2,0)</f>
        <v>4</v>
      </c>
      <c r="AC111" s="95"/>
    </row>
    <row r="112" spans="1:29" ht="12.75">
      <c r="A112" s="1" t="s">
        <v>410</v>
      </c>
      <c r="B112" s="1" t="s">
        <v>411</v>
      </c>
      <c r="C112" s="1" t="s">
        <v>163</v>
      </c>
      <c r="D112" s="1" t="str">
        <f>CONCATENATE("LOS (Radius: ",$B$94,"m)")</f>
        <v>LOS (Radius: 0m)</v>
      </c>
      <c r="E112" s="1" t="str">
        <f t="shared" si="0"/>
        <v>0P</v>
      </c>
      <c r="F112" s="1" t="s">
        <v>396</v>
      </c>
      <c r="G112" s="1">
        <f>ROUNDDOWN($B$94/2,0)+2</f>
        <v>2</v>
      </c>
      <c r="H112" s="1">
        <f>ROUNDDOWN($B$95/2,0)+2</f>
        <v>6</v>
      </c>
      <c r="AC112" s="95"/>
    </row>
    <row r="113" spans="1:29" ht="12.75">
      <c r="A113" s="1" t="s">
        <v>412</v>
      </c>
      <c r="B113" s="1" t="s">
        <v>393</v>
      </c>
      <c r="C113" s="1" t="s">
        <v>394</v>
      </c>
      <c r="D113" s="1" t="s">
        <v>395</v>
      </c>
      <c r="E113" s="1" t="str">
        <f t="shared" si="0"/>
        <v>0P</v>
      </c>
      <c r="F113" s="1" t="s">
        <v>396</v>
      </c>
      <c r="G113" s="1">
        <f>ROUNDDOWN($B$94/2,0)+3</f>
        <v>3</v>
      </c>
      <c r="H113" s="1">
        <f>ROUNDDOWN($B$95/2,0)+3</f>
        <v>7</v>
      </c>
      <c r="AC113" s="95"/>
    </row>
    <row r="114" spans="1:29" ht="12.75">
      <c r="A114" s="1" t="s">
        <v>413</v>
      </c>
      <c r="B114" s="1" t="s">
        <v>398</v>
      </c>
      <c r="C114" s="1" t="s">
        <v>394</v>
      </c>
      <c r="D114" s="1" t="str">
        <f>CONCATENATE("LOS (Radius: ",$B$94,"m)")</f>
        <v>LOS (Radius: 0m)</v>
      </c>
      <c r="E114" s="1" t="str">
        <f t="shared" si="0"/>
        <v>0P</v>
      </c>
      <c r="F114" s="1" t="s">
        <v>396</v>
      </c>
      <c r="G114" s="1">
        <f>ROUNDDOWN($B$94/2,0)+5</f>
        <v>5</v>
      </c>
      <c r="H114" s="1">
        <f>ROUNDDOWN($B$95/2,0)+5</f>
        <v>9</v>
      </c>
      <c r="AC114" s="95"/>
    </row>
    <row r="115" spans="1:29" ht="12.75">
      <c r="A115" s="1" t="s">
        <v>414</v>
      </c>
      <c r="B115" s="1" t="s">
        <v>393</v>
      </c>
      <c r="C115" s="1" t="s">
        <v>394</v>
      </c>
      <c r="D115" s="1" t="s">
        <v>395</v>
      </c>
      <c r="E115" s="1" t="str">
        <f t="shared" si="0"/>
        <v>0P</v>
      </c>
      <c r="F115" s="1" t="s">
        <v>396</v>
      </c>
      <c r="G115" s="1">
        <f>ROUNDDOWN($B$94/2,0)+3</f>
        <v>3</v>
      </c>
      <c r="H115" s="1">
        <f>ROUNDDOWN($B$95/2,0)+3</f>
        <v>7</v>
      </c>
      <c r="AC115" s="95"/>
    </row>
    <row r="116" spans="1:8" ht="10.5">
      <c r="A116" s="1" t="s">
        <v>415</v>
      </c>
      <c r="B116" s="1" t="s">
        <v>398</v>
      </c>
      <c r="C116" s="1" t="s">
        <v>394</v>
      </c>
      <c r="D116" s="1" t="str">
        <f>CONCATENATE("LOS (Radius: ",$B$94,"m)")</f>
        <v>LOS (Radius: 0m)</v>
      </c>
      <c r="E116" s="1" t="str">
        <f>CONCATENATE($B$94,"P")</f>
        <v>0P</v>
      </c>
      <c r="F116" s="1" t="s">
        <v>396</v>
      </c>
      <c r="G116" s="1">
        <f>ROUNDDOWN($B$94/2,0)+5</f>
        <v>5</v>
      </c>
      <c r="H116" s="1">
        <f>ROUNDDOWN($B$95/2,0)+5</f>
        <v>9</v>
      </c>
    </row>
    <row r="117" spans="1:8" ht="10.5">
      <c r="A117" s="1" t="s">
        <v>416</v>
      </c>
      <c r="B117" s="1" t="s">
        <v>407</v>
      </c>
      <c r="C117" s="1" t="s">
        <v>394</v>
      </c>
      <c r="D117" s="1" t="s">
        <v>401</v>
      </c>
      <c r="E117" s="1" t="str">
        <f>CONCATENATE($B$94,"P")</f>
        <v>0P</v>
      </c>
      <c r="F117" s="1" t="s">
        <v>396</v>
      </c>
      <c r="G117" s="1">
        <f>ROUNDDOWN($B$94/2,0)-1</f>
        <v>-1</v>
      </c>
      <c r="H117" s="1">
        <f>ROUNDDOWN($B$95/2,0)-1</f>
        <v>3</v>
      </c>
    </row>
    <row r="118" spans="1:29" ht="12.75">
      <c r="A118" s="1" t="s">
        <v>417</v>
      </c>
      <c r="B118" s="1" t="s">
        <v>409</v>
      </c>
      <c r="C118" s="1" t="s">
        <v>394</v>
      </c>
      <c r="D118" s="1" t="s">
        <v>395</v>
      </c>
      <c r="E118" s="1" t="str">
        <f>CONCATENATE($B$94,"P")</f>
        <v>0P</v>
      </c>
      <c r="F118" s="1" t="s">
        <v>396</v>
      </c>
      <c r="G118" s="1">
        <f>ROUNDDOWN($B$94/2,0)+1</f>
        <v>1</v>
      </c>
      <c r="H118" s="1">
        <f>ROUNDDOWN($B$95/2,0)+1</f>
        <v>5</v>
      </c>
      <c r="AC118" s="95"/>
    </row>
    <row r="119" spans="1:29" ht="12.75">
      <c r="A119" s="1" t="s">
        <v>418</v>
      </c>
      <c r="B119" s="1" t="s">
        <v>411</v>
      </c>
      <c r="C119" s="1" t="s">
        <v>394</v>
      </c>
      <c r="D119" s="1" t="str">
        <f>CONCATENATE("LOS (Radius: ",$B$94,"m)")</f>
        <v>LOS (Radius: 0m)</v>
      </c>
      <c r="E119" s="1" t="str">
        <f>CONCATENATE($B$94,"P")</f>
        <v>0P</v>
      </c>
      <c r="F119" s="1" t="s">
        <v>396</v>
      </c>
      <c r="G119" s="1">
        <f>ROUNDDOWN($B$94/2,0)+3</f>
        <v>3</v>
      </c>
      <c r="H119" s="1">
        <f>ROUNDDOWN($B$95/2,0)+3</f>
        <v>7</v>
      </c>
      <c r="AC119" s="95"/>
    </row>
    <row r="120" spans="1:29" ht="12.75">
      <c r="A120" s="1" t="s">
        <v>419</v>
      </c>
      <c r="B120" s="1" t="s">
        <v>407</v>
      </c>
      <c r="C120" s="1" t="s">
        <v>394</v>
      </c>
      <c r="D120" s="1" t="s">
        <v>401</v>
      </c>
      <c r="E120" s="1" t="str">
        <f>CONCATENATE($B$94,"P")</f>
        <v>0P</v>
      </c>
      <c r="F120" s="1" t="s">
        <v>396</v>
      </c>
      <c r="G120" s="1">
        <f>ROUNDDOWN($B$94/2,0)-3</f>
        <v>-3</v>
      </c>
      <c r="H120" s="1">
        <f>ROUNDDOWN($B$95/2,0)-3</f>
        <v>1</v>
      </c>
      <c r="AC120" s="95"/>
    </row>
    <row r="121" spans="1:29" ht="12.75">
      <c r="A121" s="1" t="s">
        <v>420</v>
      </c>
      <c r="B121" s="1" t="s">
        <v>409</v>
      </c>
      <c r="C121" s="1" t="s">
        <v>394</v>
      </c>
      <c r="D121" s="1" t="s">
        <v>395</v>
      </c>
      <c r="E121" s="1" t="str">
        <f>CONCATENATE($B$94,"S")</f>
        <v>0S</v>
      </c>
      <c r="F121" s="1" t="s">
        <v>396</v>
      </c>
      <c r="G121" s="1">
        <f>ROUNDDOWN($B$94/2,0)-1</f>
        <v>-1</v>
      </c>
      <c r="H121" s="1">
        <f>ROUNDDOWN($B$95/2,0)-1</f>
        <v>3</v>
      </c>
      <c r="AC121" s="95"/>
    </row>
    <row r="122" spans="1:29" ht="12.75">
      <c r="A122" s="1" t="s">
        <v>421</v>
      </c>
      <c r="B122" s="1" t="s">
        <v>411</v>
      </c>
      <c r="C122" s="1" t="s">
        <v>394</v>
      </c>
      <c r="D122" s="1" t="str">
        <f>CONCATENATE("LOS (Radius: ",$B$94,"m)")</f>
        <v>LOS (Radius: 0m)</v>
      </c>
      <c r="E122" s="1" t="str">
        <f>CONCATENATE($B$94,"S")</f>
        <v>0S</v>
      </c>
      <c r="F122" s="1" t="s">
        <v>396</v>
      </c>
      <c r="G122" s="1">
        <f>ROUNDDOWN($B$94/2,0)+1</f>
        <v>1</v>
      </c>
      <c r="H122" s="1">
        <f>ROUNDDOWN($B$95/2,0)+1</f>
        <v>5</v>
      </c>
      <c r="AC122" s="95"/>
    </row>
    <row r="123" ht="10.5">
      <c r="A123" s="1" t="s">
        <v>422</v>
      </c>
    </row>
    <row r="124" spans="1:8" ht="10.5">
      <c r="A124" s="1" t="s">
        <v>423</v>
      </c>
      <c r="B124" s="1" t="s">
        <v>424</v>
      </c>
      <c r="C124" s="1" t="s">
        <v>163</v>
      </c>
      <c r="D124" s="1" t="s">
        <v>401</v>
      </c>
      <c r="F124" s="1" t="s">
        <v>425</v>
      </c>
      <c r="G124" s="1">
        <f>ROUNDDOWN($B$94/2,0)</f>
        <v>0</v>
      </c>
      <c r="H124" s="1">
        <f>ROUNDDOWN($B$95/2,0)</f>
        <v>4</v>
      </c>
    </row>
    <row r="125" spans="1:8" ht="10.5">
      <c r="A125" s="1" t="s">
        <v>426</v>
      </c>
      <c r="B125" s="1" t="s">
        <v>424</v>
      </c>
      <c r="C125" s="1" t="s">
        <v>163</v>
      </c>
      <c r="D125" s="1" t="s">
        <v>401</v>
      </c>
      <c r="F125" s="1" t="s">
        <v>425</v>
      </c>
      <c r="G125" s="1">
        <f>ROUNDDOWN($B$94/2,0)</f>
        <v>0</v>
      </c>
      <c r="H125" s="1">
        <f>ROUNDDOWN($B$95/2,0)</f>
        <v>4</v>
      </c>
    </row>
    <row r="126" spans="1:8" ht="10.5">
      <c r="A126" s="1" t="s">
        <v>427</v>
      </c>
      <c r="B126" s="1" t="s">
        <v>428</v>
      </c>
      <c r="C126" s="1" t="s">
        <v>163</v>
      </c>
      <c r="D126" s="1" t="s">
        <v>401</v>
      </c>
      <c r="F126" s="1" t="s">
        <v>425</v>
      </c>
      <c r="G126" s="1">
        <f>ROUNDDOWN($B$94/2,0)-1</f>
        <v>-1</v>
      </c>
      <c r="H126" s="1">
        <f>ROUNDDOWN($B$95/2,0)-1</f>
        <v>3</v>
      </c>
    </row>
    <row r="127" spans="1:8" ht="10.5">
      <c r="A127" s="1" t="s">
        <v>429</v>
      </c>
      <c r="B127" s="1" t="s">
        <v>428</v>
      </c>
      <c r="C127" s="1" t="s">
        <v>163</v>
      </c>
      <c r="D127" s="1" t="s">
        <v>401</v>
      </c>
      <c r="F127" s="1" t="s">
        <v>425</v>
      </c>
      <c r="G127" s="1">
        <f>ROUNDDOWN($B$94/2,0)-1</f>
        <v>-1</v>
      </c>
      <c r="H127" s="1">
        <f>ROUNDDOWN($B$95/2,0)-1</f>
        <v>3</v>
      </c>
    </row>
    <row r="128" spans="1:8" ht="10.5">
      <c r="A128" s="1" t="s">
        <v>430</v>
      </c>
      <c r="B128" s="1" t="s">
        <v>431</v>
      </c>
      <c r="C128" s="1" t="s">
        <v>163</v>
      </c>
      <c r="D128" s="1" t="s">
        <v>401</v>
      </c>
      <c r="F128" s="1" t="s">
        <v>425</v>
      </c>
      <c r="G128" s="1">
        <f>ROUNDDOWN($B$94/2,0)+2</f>
        <v>2</v>
      </c>
      <c r="H128" s="1">
        <f>ROUNDDOWN($B$95/2,0)+2</f>
        <v>6</v>
      </c>
    </row>
    <row r="129" spans="1:8" ht="10.5">
      <c r="A129" s="1" t="s">
        <v>432</v>
      </c>
      <c r="B129" s="1" t="s">
        <v>433</v>
      </c>
      <c r="C129" s="1" t="s">
        <v>163</v>
      </c>
      <c r="D129" s="1" t="str">
        <f>CONCATENATE("Touch (Radius: ",$B$94*B94,"m)")</f>
        <v>Touch (Radius: 0m)</v>
      </c>
      <c r="F129" s="1" t="s">
        <v>425</v>
      </c>
      <c r="G129" s="1">
        <f>ROUNDDOWN($B$94/2,0)-1</f>
        <v>-1</v>
      </c>
      <c r="H129" s="1">
        <f>ROUNDDOWN($B$95/2,0)-1</f>
        <v>3</v>
      </c>
    </row>
    <row r="130" spans="1:8" ht="10.5">
      <c r="A130" s="1" t="s">
        <v>434</v>
      </c>
      <c r="B130" s="1" t="s">
        <v>435</v>
      </c>
      <c r="C130" s="1" t="s">
        <v>163</v>
      </c>
      <c r="D130" s="1" t="str">
        <f>CONCATENATE("Touch (Radius: ",$B$94*B94*10,"m)")</f>
        <v>Touch (Radius: 0m)</v>
      </c>
      <c r="F130" s="1" t="s">
        <v>425</v>
      </c>
      <c r="G130" s="1">
        <f>ROUNDDOWN($B$94/2,0)+1</f>
        <v>1</v>
      </c>
      <c r="H130" s="1">
        <f>ROUNDDOWN($B$95/2,0)+1</f>
        <v>5</v>
      </c>
    </row>
    <row r="131" spans="1:8" ht="10.5">
      <c r="A131" s="1" t="s">
        <v>436</v>
      </c>
      <c r="B131" s="1" t="s">
        <v>433</v>
      </c>
      <c r="C131" s="1" t="s">
        <v>394</v>
      </c>
      <c r="D131" s="1" t="str">
        <f>CONCATENATE("Touch (Radius: ",$B$94*B94,"m)")</f>
        <v>Touch (Radius: 0m)</v>
      </c>
      <c r="F131" s="1" t="s">
        <v>425</v>
      </c>
      <c r="G131" s="1">
        <f>ROUNDDOWN($B$94/2,0)-1</f>
        <v>-1</v>
      </c>
      <c r="H131" s="1">
        <f>ROUNDDOWN($B$95/2,0)-1</f>
        <v>3</v>
      </c>
    </row>
    <row r="132" spans="1:8" ht="10.5">
      <c r="A132" s="1" t="s">
        <v>437</v>
      </c>
      <c r="B132" s="1" t="s">
        <v>435</v>
      </c>
      <c r="C132" s="1" t="s">
        <v>394</v>
      </c>
      <c r="D132" s="1" t="str">
        <f>CONCATENATE("Touch (Radius: ",$B$94*B94*10,"m)")</f>
        <v>Touch (Radius: 0m)</v>
      </c>
      <c r="F132" s="1" t="s">
        <v>425</v>
      </c>
      <c r="G132" s="1">
        <f>ROUNDDOWN($B$94/2,0)+1</f>
        <v>1</v>
      </c>
      <c r="H132" s="1">
        <f>ROUNDDOWN($B$95/2,0)+1</f>
        <v>5</v>
      </c>
    </row>
    <row r="133" spans="1:8" ht="10.5">
      <c r="A133" s="1" t="s">
        <v>438</v>
      </c>
      <c r="B133" s="1" t="s">
        <v>433</v>
      </c>
      <c r="C133" s="1" t="s">
        <v>163</v>
      </c>
      <c r="D133" s="1" t="str">
        <f>CONCATENATE("Touch (Radius: ",$B$94*B94,"m)")</f>
        <v>Touch (Radius: 0m)</v>
      </c>
      <c r="F133" s="1" t="s">
        <v>425</v>
      </c>
      <c r="G133" s="1">
        <f>ROUNDDOWN($B$94/2,0)+1</f>
        <v>1</v>
      </c>
      <c r="H133" s="1">
        <f>ROUNDDOWN($B$95/2,0)+1</f>
        <v>5</v>
      </c>
    </row>
    <row r="134" spans="1:8" ht="10.5">
      <c r="A134" s="1" t="s">
        <v>439</v>
      </c>
      <c r="B134" s="1" t="s">
        <v>435</v>
      </c>
      <c r="C134" s="1" t="s">
        <v>163</v>
      </c>
      <c r="D134" s="1" t="str">
        <f>CONCATENATE("Touch (Radius: ",$B$94*B94*10,"m)")</f>
        <v>Touch (Radius: 0m)</v>
      </c>
      <c r="F134" s="1" t="s">
        <v>425</v>
      </c>
      <c r="G134" s="1">
        <f>ROUNDDOWN($B$94/2,0)+3</f>
        <v>3</v>
      </c>
      <c r="H134" s="1">
        <f>ROUNDDOWN($B$95/2,0)+3</f>
        <v>7</v>
      </c>
    </row>
    <row r="135" spans="1:8" ht="10.5">
      <c r="A135" s="1" t="s">
        <v>440</v>
      </c>
      <c r="B135" s="1" t="s">
        <v>433</v>
      </c>
      <c r="C135" s="1" t="s">
        <v>163</v>
      </c>
      <c r="D135" s="1" t="str">
        <f>CONCATENATE("Touch (Radius: ",$B$94*B94,"m)")</f>
        <v>Touch (Radius: 0m)</v>
      </c>
      <c r="F135" s="1" t="s">
        <v>425</v>
      </c>
      <c r="G135" s="1">
        <f>ROUNDDOWN($B$94/2,0)-1</f>
        <v>-1</v>
      </c>
      <c r="H135" s="1">
        <f>ROUNDDOWN($B$95/2,0)-1</f>
        <v>3</v>
      </c>
    </row>
    <row r="136" spans="1:8" ht="10.5">
      <c r="A136" s="1" t="s">
        <v>441</v>
      </c>
      <c r="B136" s="1" t="s">
        <v>435</v>
      </c>
      <c r="C136" s="1" t="s">
        <v>163</v>
      </c>
      <c r="D136" s="1" t="str">
        <f>CONCATENATE("Touch (Radius: ",$B$94*B94*10,"m)")</f>
        <v>Touch (Radius: 0m)</v>
      </c>
      <c r="F136" s="1" t="s">
        <v>425</v>
      </c>
      <c r="G136" s="1">
        <f>ROUNDDOWN($B$94/2,0)+1</f>
        <v>1</v>
      </c>
      <c r="H136" s="1">
        <f>ROUNDDOWN($B$95/2,0)+1</f>
        <v>5</v>
      </c>
    </row>
    <row r="137" spans="1:8" ht="10.5">
      <c r="A137" s="1" t="s">
        <v>442</v>
      </c>
      <c r="B137" s="1" t="s">
        <v>433</v>
      </c>
      <c r="C137" s="1" t="s">
        <v>163</v>
      </c>
      <c r="D137" s="1" t="str">
        <f>CONCATENATE("Touch (Radius: ",$B$94*B94,"m)")</f>
        <v>Touch (Radius: 0m)</v>
      </c>
      <c r="F137" s="1" t="s">
        <v>425</v>
      </c>
      <c r="G137" s="1">
        <f>ROUNDDOWN($B$94/2,0)</f>
        <v>0</v>
      </c>
      <c r="H137" s="1">
        <f>ROUNDDOWN($B$95/2,0)</f>
        <v>4</v>
      </c>
    </row>
    <row r="138" spans="1:8" ht="10.5">
      <c r="A138" s="1" t="s">
        <v>443</v>
      </c>
      <c r="B138" s="1" t="s">
        <v>435</v>
      </c>
      <c r="C138" s="1" t="s">
        <v>163</v>
      </c>
      <c r="D138" s="1" t="str">
        <f>CONCATENATE("Touch (Radius: ",$B$94*B94*10,"m)")</f>
        <v>Touch (Radius: 0m)</v>
      </c>
      <c r="F138" s="1" t="s">
        <v>425</v>
      </c>
      <c r="G138" s="1">
        <f>ROUNDDOWN($B$94/2,0)+2</f>
        <v>2</v>
      </c>
      <c r="H138" s="1">
        <f>ROUNDDOWN($B$95/2,0)+2</f>
        <v>6</v>
      </c>
    </row>
    <row r="139" spans="1:8" ht="10.5">
      <c r="A139" s="1" t="s">
        <v>444</v>
      </c>
      <c r="B139" s="1" t="s">
        <v>433</v>
      </c>
      <c r="C139" s="1" t="s">
        <v>163</v>
      </c>
      <c r="D139" s="1" t="str">
        <f>CONCATENATE("Touch (Radius: ",$B$94*B94,"m)")</f>
        <v>Touch (Radius: 0m)</v>
      </c>
      <c r="F139" s="1" t="s">
        <v>425</v>
      </c>
      <c r="G139" s="1">
        <f>ROUNDDOWN($B$94/2,0)</f>
        <v>0</v>
      </c>
      <c r="H139" s="1">
        <f>ROUNDDOWN($B$95/2,0)</f>
        <v>4</v>
      </c>
    </row>
    <row r="140" spans="1:8" ht="10.5">
      <c r="A140" s="1" t="s">
        <v>445</v>
      </c>
      <c r="B140" s="1" t="s">
        <v>435</v>
      </c>
      <c r="C140" s="1" t="s">
        <v>163</v>
      </c>
      <c r="D140" s="1" t="str">
        <f>CONCATENATE("Touch (Radius: ",$B$94*B94*10,"m)")</f>
        <v>Touch (Radius: 0m)</v>
      </c>
      <c r="F140" s="1" t="s">
        <v>425</v>
      </c>
      <c r="G140" s="1">
        <f>ROUNDDOWN($B$94/2,0)+2</f>
        <v>2</v>
      </c>
      <c r="H140" s="1">
        <f>ROUNDDOWN($B$95/2,0)+2</f>
        <v>6</v>
      </c>
    </row>
    <row r="141" spans="1:8" ht="10.5">
      <c r="A141" s="1" t="s">
        <v>446</v>
      </c>
      <c r="B141" s="1" t="s">
        <v>431</v>
      </c>
      <c r="C141" s="1" t="s">
        <v>163</v>
      </c>
      <c r="D141" s="1" t="s">
        <v>401</v>
      </c>
      <c r="F141" s="1" t="s">
        <v>425</v>
      </c>
      <c r="G141" s="1">
        <f>ROUNDDOWN($B$94/2,0)+1</f>
        <v>1</v>
      </c>
      <c r="H141" s="1">
        <f>ROUNDDOWN($B$95/2,0)+1</f>
        <v>5</v>
      </c>
    </row>
    <row r="142" spans="1:8" ht="10.5">
      <c r="A142" s="1" t="s">
        <v>447</v>
      </c>
      <c r="B142" s="1" t="s">
        <v>424</v>
      </c>
      <c r="C142" s="1" t="s">
        <v>163</v>
      </c>
      <c r="D142" s="1" t="s">
        <v>401</v>
      </c>
      <c r="F142" s="1" t="s">
        <v>425</v>
      </c>
      <c r="G142" s="1">
        <f>ROUNDDOWN($B$94/2,0)+2</f>
        <v>2</v>
      </c>
      <c r="H142" s="1">
        <f>ROUNDDOWN($B$95/2,0)+2</f>
        <v>6</v>
      </c>
    </row>
    <row r="143" ht="10.5">
      <c r="A143" s="1" t="s">
        <v>448</v>
      </c>
    </row>
    <row r="144" spans="1:8" ht="10.5">
      <c r="A144" s="1" t="s">
        <v>449</v>
      </c>
      <c r="C144" s="1" t="s">
        <v>163</v>
      </c>
      <c r="D144" s="1" t="s">
        <v>401</v>
      </c>
      <c r="F144" s="1" t="s">
        <v>450</v>
      </c>
      <c r="G144" s="1" t="s">
        <v>451</v>
      </c>
      <c r="H144" s="1" t="s">
        <v>451</v>
      </c>
    </row>
    <row r="145" spans="1:8" ht="10.5">
      <c r="A145" s="1" t="s">
        <v>452</v>
      </c>
      <c r="C145" s="1" t="s">
        <v>163</v>
      </c>
      <c r="D145" s="1" t="s">
        <v>401</v>
      </c>
      <c r="F145" s="1" t="s">
        <v>450</v>
      </c>
      <c r="G145" s="1" t="s">
        <v>453</v>
      </c>
      <c r="H145" s="1" t="s">
        <v>453</v>
      </c>
    </row>
    <row r="146" spans="1:8" ht="10.5">
      <c r="A146" s="1" t="s">
        <v>454</v>
      </c>
      <c r="B146" s="1" t="s">
        <v>455</v>
      </c>
      <c r="C146" s="1" t="s">
        <v>394</v>
      </c>
      <c r="D146" s="1" t="s">
        <v>401</v>
      </c>
      <c r="E146" s="1" t="s">
        <v>456</v>
      </c>
      <c r="F146" s="1" t="s">
        <v>425</v>
      </c>
      <c r="G146" s="1">
        <f aca="true" t="shared" si="1" ref="G146:G153">ROUNDDOWN($B$94/2,0)+1</f>
        <v>1</v>
      </c>
      <c r="H146" s="1">
        <f aca="true" t="shared" si="2" ref="H146:H153">ROUNDDOWN($B$95/2,0)+1</f>
        <v>5</v>
      </c>
    </row>
    <row r="147" spans="1:8" ht="10.5">
      <c r="A147" s="1" t="s">
        <v>457</v>
      </c>
      <c r="B147" s="1" t="s">
        <v>455</v>
      </c>
      <c r="C147" s="1" t="s">
        <v>394</v>
      </c>
      <c r="D147" s="1" t="s">
        <v>401</v>
      </c>
      <c r="E147" s="1" t="s">
        <v>458</v>
      </c>
      <c r="F147" s="1" t="s">
        <v>425</v>
      </c>
      <c r="G147" s="1">
        <f t="shared" si="1"/>
        <v>1</v>
      </c>
      <c r="H147" s="1">
        <f t="shared" si="2"/>
        <v>5</v>
      </c>
    </row>
    <row r="148" spans="1:8" ht="10.5">
      <c r="A148" s="1" t="s">
        <v>459</v>
      </c>
      <c r="B148" s="1" t="s">
        <v>455</v>
      </c>
      <c r="C148" s="1" t="s">
        <v>394</v>
      </c>
      <c r="D148" s="1" t="s">
        <v>401</v>
      </c>
      <c r="E148" s="1" t="s">
        <v>460</v>
      </c>
      <c r="F148" s="1" t="s">
        <v>425</v>
      </c>
      <c r="G148" s="1">
        <f t="shared" si="1"/>
        <v>1</v>
      </c>
      <c r="H148" s="1">
        <f t="shared" si="2"/>
        <v>5</v>
      </c>
    </row>
    <row r="149" spans="1:8" ht="10.5">
      <c r="A149" s="1" t="s">
        <v>461</v>
      </c>
      <c r="B149" s="1" t="s">
        <v>455</v>
      </c>
      <c r="C149" s="1" t="s">
        <v>394</v>
      </c>
      <c r="D149" s="1" t="s">
        <v>401</v>
      </c>
      <c r="E149" s="1" t="s">
        <v>462</v>
      </c>
      <c r="F149" s="1" t="s">
        <v>425</v>
      </c>
      <c r="G149" s="1">
        <f t="shared" si="1"/>
        <v>1</v>
      </c>
      <c r="H149" s="1">
        <f t="shared" si="2"/>
        <v>5</v>
      </c>
    </row>
    <row r="150" spans="1:8" ht="10.5">
      <c r="A150" s="1" t="s">
        <v>463</v>
      </c>
      <c r="B150" s="1" t="s">
        <v>455</v>
      </c>
      <c r="C150" s="1" t="s">
        <v>394</v>
      </c>
      <c r="D150" s="1" t="s">
        <v>401</v>
      </c>
      <c r="E150" s="1" t="s">
        <v>464</v>
      </c>
      <c r="F150" s="1" t="s">
        <v>425</v>
      </c>
      <c r="G150" s="1">
        <f t="shared" si="1"/>
        <v>1</v>
      </c>
      <c r="H150" s="1">
        <f t="shared" si="2"/>
        <v>5</v>
      </c>
    </row>
    <row r="151" spans="1:8" ht="10.5">
      <c r="A151" s="1" t="s">
        <v>465</v>
      </c>
      <c r="B151" s="1" t="s">
        <v>455</v>
      </c>
      <c r="C151" s="1" t="s">
        <v>394</v>
      </c>
      <c r="D151" s="1" t="s">
        <v>401</v>
      </c>
      <c r="E151" s="1" t="s">
        <v>466</v>
      </c>
      <c r="F151" s="1" t="s">
        <v>425</v>
      </c>
      <c r="G151" s="1">
        <f t="shared" si="1"/>
        <v>1</v>
      </c>
      <c r="H151" s="1">
        <f t="shared" si="2"/>
        <v>5</v>
      </c>
    </row>
    <row r="152" spans="1:8" ht="10.5">
      <c r="A152" s="1" t="s">
        <v>467</v>
      </c>
      <c r="B152" s="1" t="s">
        <v>455</v>
      </c>
      <c r="C152" s="1" t="s">
        <v>394</v>
      </c>
      <c r="D152" s="1" t="s">
        <v>401</v>
      </c>
      <c r="E152" s="1" t="s">
        <v>468</v>
      </c>
      <c r="F152" s="1" t="s">
        <v>425</v>
      </c>
      <c r="G152" s="1">
        <f t="shared" si="1"/>
        <v>1</v>
      </c>
      <c r="H152" s="1">
        <f t="shared" si="2"/>
        <v>5</v>
      </c>
    </row>
    <row r="153" spans="1:8" ht="10.5">
      <c r="A153" s="1" t="s">
        <v>469</v>
      </c>
      <c r="B153" s="1" t="s">
        <v>455</v>
      </c>
      <c r="C153" s="1" t="s">
        <v>394</v>
      </c>
      <c r="D153" s="1" t="s">
        <v>401</v>
      </c>
      <c r="E153" s="1" t="s">
        <v>470</v>
      </c>
      <c r="F153" s="1" t="s">
        <v>425</v>
      </c>
      <c r="G153" s="1">
        <f t="shared" si="1"/>
        <v>1</v>
      </c>
      <c r="H153" s="1">
        <f t="shared" si="2"/>
        <v>5</v>
      </c>
    </row>
    <row r="154" spans="1:8" ht="10.5">
      <c r="A154" s="1" t="s">
        <v>471</v>
      </c>
      <c r="C154" s="1" t="s">
        <v>163</v>
      </c>
      <c r="D154" s="1" t="s">
        <v>401</v>
      </c>
      <c r="F154" s="1" t="s">
        <v>450</v>
      </c>
      <c r="G154" s="1" t="s">
        <v>451</v>
      </c>
      <c r="H154" s="1" t="s">
        <v>451</v>
      </c>
    </row>
    <row r="155" spans="1:8" ht="10.5">
      <c r="A155" s="1" t="s">
        <v>472</v>
      </c>
      <c r="C155" s="1" t="s">
        <v>163</v>
      </c>
      <c r="D155" s="1" t="s">
        <v>401</v>
      </c>
      <c r="F155" s="1" t="s">
        <v>450</v>
      </c>
      <c r="G155" s="1" t="s">
        <v>473</v>
      </c>
      <c r="H155" s="1" t="s">
        <v>473</v>
      </c>
    </row>
    <row r="156" spans="1:8" ht="10.5">
      <c r="A156" s="1" t="s">
        <v>474</v>
      </c>
      <c r="C156" s="1" t="s">
        <v>163</v>
      </c>
      <c r="D156" s="1" t="s">
        <v>401</v>
      </c>
      <c r="F156" s="1" t="s">
        <v>425</v>
      </c>
      <c r="G156" s="1">
        <f>ROUNDDOWN($B$94/2,0)-3</f>
        <v>-3</v>
      </c>
      <c r="H156" s="1">
        <f>ROUNDDOWN($B$95/2,0)-3</f>
        <v>1</v>
      </c>
    </row>
    <row r="157" spans="1:8" ht="10.5">
      <c r="A157" s="1" t="s">
        <v>475</v>
      </c>
      <c r="B157" s="1" t="s">
        <v>455</v>
      </c>
      <c r="C157" s="1" t="s">
        <v>394</v>
      </c>
      <c r="D157" s="1" t="s">
        <v>401</v>
      </c>
      <c r="E157" s="1" t="s">
        <v>476</v>
      </c>
      <c r="F157" s="1" t="s">
        <v>425</v>
      </c>
      <c r="G157" s="1">
        <f aca="true" t="shared" si="3" ref="G157:G164">ROUNDDOWN($B$94/2,0)-2</f>
        <v>-2</v>
      </c>
      <c r="H157" s="1">
        <f aca="true" t="shared" si="4" ref="H157:H164">ROUNDDOWN($B$95/2,0)-2</f>
        <v>2</v>
      </c>
    </row>
    <row r="158" spans="1:8" ht="10.5">
      <c r="A158" s="1" t="s">
        <v>477</v>
      </c>
      <c r="B158" s="1" t="s">
        <v>455</v>
      </c>
      <c r="C158" s="1" t="s">
        <v>394</v>
      </c>
      <c r="D158" s="1" t="s">
        <v>401</v>
      </c>
      <c r="E158" s="1" t="s">
        <v>478</v>
      </c>
      <c r="F158" s="1" t="s">
        <v>425</v>
      </c>
      <c r="G158" s="1">
        <f t="shared" si="3"/>
        <v>-2</v>
      </c>
      <c r="H158" s="1">
        <f t="shared" si="4"/>
        <v>2</v>
      </c>
    </row>
    <row r="159" spans="1:8" ht="10.5">
      <c r="A159" s="1" t="s">
        <v>479</v>
      </c>
      <c r="B159" s="1" t="s">
        <v>455</v>
      </c>
      <c r="C159" s="1" t="s">
        <v>394</v>
      </c>
      <c r="D159" s="1" t="s">
        <v>401</v>
      </c>
      <c r="E159" s="1" t="s">
        <v>480</v>
      </c>
      <c r="F159" s="1" t="s">
        <v>425</v>
      </c>
      <c r="G159" s="1">
        <f t="shared" si="3"/>
        <v>-2</v>
      </c>
      <c r="H159" s="1">
        <f t="shared" si="4"/>
        <v>2</v>
      </c>
    </row>
    <row r="160" spans="1:8" ht="10.5">
      <c r="A160" s="1" t="s">
        <v>481</v>
      </c>
      <c r="B160" s="1" t="s">
        <v>455</v>
      </c>
      <c r="C160" s="1" t="s">
        <v>394</v>
      </c>
      <c r="D160" s="1" t="s">
        <v>401</v>
      </c>
      <c r="E160" s="1" t="s">
        <v>482</v>
      </c>
      <c r="F160" s="1" t="s">
        <v>425</v>
      </c>
      <c r="G160" s="1">
        <f t="shared" si="3"/>
        <v>-2</v>
      </c>
      <c r="H160" s="1">
        <f t="shared" si="4"/>
        <v>2</v>
      </c>
    </row>
    <row r="161" spans="1:8" ht="10.5">
      <c r="A161" s="1" t="s">
        <v>483</v>
      </c>
      <c r="B161" s="1" t="s">
        <v>455</v>
      </c>
      <c r="C161" s="1" t="s">
        <v>394</v>
      </c>
      <c r="D161" s="1" t="s">
        <v>401</v>
      </c>
      <c r="E161" s="1" t="s">
        <v>484</v>
      </c>
      <c r="F161" s="1" t="s">
        <v>425</v>
      </c>
      <c r="G161" s="1">
        <f t="shared" si="3"/>
        <v>-2</v>
      </c>
      <c r="H161" s="1">
        <f t="shared" si="4"/>
        <v>2</v>
      </c>
    </row>
    <row r="162" spans="1:8" ht="10.5">
      <c r="A162" s="1" t="s">
        <v>485</v>
      </c>
      <c r="B162" s="1" t="s">
        <v>455</v>
      </c>
      <c r="C162" s="1" t="s">
        <v>394</v>
      </c>
      <c r="D162" s="1" t="s">
        <v>401</v>
      </c>
      <c r="E162" s="1" t="s">
        <v>486</v>
      </c>
      <c r="F162" s="1" t="s">
        <v>425</v>
      </c>
      <c r="G162" s="1">
        <f t="shared" si="3"/>
        <v>-2</v>
      </c>
      <c r="H162" s="1">
        <f t="shared" si="4"/>
        <v>2</v>
      </c>
    </row>
    <row r="163" spans="1:8" ht="10.5">
      <c r="A163" s="1" t="s">
        <v>487</v>
      </c>
      <c r="B163" s="1" t="s">
        <v>455</v>
      </c>
      <c r="C163" s="1" t="s">
        <v>394</v>
      </c>
      <c r="D163" s="1" t="s">
        <v>401</v>
      </c>
      <c r="E163" s="1" t="s">
        <v>488</v>
      </c>
      <c r="F163" s="1" t="s">
        <v>425</v>
      </c>
      <c r="G163" s="1">
        <f t="shared" si="3"/>
        <v>-2</v>
      </c>
      <c r="H163" s="1">
        <f t="shared" si="4"/>
        <v>2</v>
      </c>
    </row>
    <row r="164" spans="1:8" ht="10.5">
      <c r="A164" s="1" t="s">
        <v>489</v>
      </c>
      <c r="B164" s="1" t="s">
        <v>455</v>
      </c>
      <c r="C164" s="1" t="s">
        <v>394</v>
      </c>
      <c r="D164" s="1" t="s">
        <v>401</v>
      </c>
      <c r="E164" s="1" t="s">
        <v>490</v>
      </c>
      <c r="F164" s="1" t="s">
        <v>425</v>
      </c>
      <c r="G164" s="1">
        <f t="shared" si="3"/>
        <v>-2</v>
      </c>
      <c r="H164" s="1">
        <f t="shared" si="4"/>
        <v>2</v>
      </c>
    </row>
    <row r="165" spans="1:8" ht="10.5">
      <c r="A165" s="1" t="s">
        <v>491</v>
      </c>
      <c r="C165" s="1" t="s">
        <v>394</v>
      </c>
      <c r="D165" s="1" t="s">
        <v>401</v>
      </c>
      <c r="E165" s="1" t="s">
        <v>492</v>
      </c>
      <c r="F165" s="1" t="s">
        <v>425</v>
      </c>
      <c r="G165" s="1">
        <f>ROUNDDOWN($B$94/2,0)+2</f>
        <v>2</v>
      </c>
      <c r="H165" s="1">
        <f>ROUNDDOWN($B$95/2,0)+2</f>
        <v>6</v>
      </c>
    </row>
    <row r="166" spans="1:8" ht="10.5">
      <c r="A166" s="1" t="s">
        <v>493</v>
      </c>
      <c r="C166" s="1" t="s">
        <v>394</v>
      </c>
      <c r="D166" s="1" t="s">
        <v>401</v>
      </c>
      <c r="E166" s="1" t="s">
        <v>494</v>
      </c>
      <c r="F166" s="1" t="s">
        <v>425</v>
      </c>
      <c r="G166" s="1">
        <f>ROUNDDOWN($B$94/2,0)-1</f>
        <v>-1</v>
      </c>
      <c r="H166" s="1">
        <f>ROUNDDOWN($B$95/2,0)-1</f>
        <v>3</v>
      </c>
    </row>
    <row r="167" spans="1:8" ht="10.5">
      <c r="A167" s="1" t="s">
        <v>495</v>
      </c>
      <c r="C167" s="1" t="s">
        <v>163</v>
      </c>
      <c r="D167" s="1" t="s">
        <v>401</v>
      </c>
      <c r="E167" s="1" t="s">
        <v>496</v>
      </c>
      <c r="F167" s="1" t="s">
        <v>425</v>
      </c>
      <c r="G167" s="1">
        <f>ROUNDDOWN($B$94/2,0)-2</f>
        <v>-2</v>
      </c>
      <c r="H167" s="1">
        <f>ROUNDDOWN($B$95/2,0)-2</f>
        <v>2</v>
      </c>
    </row>
    <row r="168" spans="1:8" ht="10.5">
      <c r="A168" s="1" t="s">
        <v>497</v>
      </c>
      <c r="C168" s="1" t="s">
        <v>163</v>
      </c>
      <c r="D168" s="1" t="s">
        <v>401</v>
      </c>
      <c r="E168" s="1" t="s">
        <v>498</v>
      </c>
      <c r="F168" s="1" t="s">
        <v>450</v>
      </c>
      <c r="G168" s="1">
        <f>ROUNDDOWN($B$94/2,0)-4</f>
        <v>-4</v>
      </c>
      <c r="H168" s="1">
        <f>ROUNDDOWN($B$95/2,0)-4</f>
        <v>0</v>
      </c>
    </row>
    <row r="169" spans="1:8" ht="10.5">
      <c r="A169" s="1" t="s">
        <v>499</v>
      </c>
      <c r="C169" s="1" t="s">
        <v>163</v>
      </c>
      <c r="D169" s="1" t="s">
        <v>401</v>
      </c>
      <c r="F169" s="1" t="s">
        <v>450</v>
      </c>
      <c r="G169" s="1" t="s">
        <v>500</v>
      </c>
      <c r="H169" s="1" t="s">
        <v>500</v>
      </c>
    </row>
    <row r="170" ht="10.5">
      <c r="A170" s="1" t="s">
        <v>501</v>
      </c>
    </row>
    <row r="171" spans="1:8" ht="10.5">
      <c r="A171" s="1" t="s">
        <v>502</v>
      </c>
      <c r="B171" s="1" t="s">
        <v>503</v>
      </c>
      <c r="C171" s="1" t="s">
        <v>163</v>
      </c>
      <c r="D171" s="1" t="s">
        <v>395</v>
      </c>
      <c r="F171" s="1" t="s">
        <v>425</v>
      </c>
      <c r="G171" s="1">
        <f>ROUNDDOWN($B$94/2,0)</f>
        <v>0</v>
      </c>
      <c r="H171" s="1">
        <f>ROUNDDOWN($B$95/2,0)</f>
        <v>4</v>
      </c>
    </row>
    <row r="172" spans="1:8" ht="10.5">
      <c r="A172" s="1" t="s">
        <v>504</v>
      </c>
      <c r="B172" s="1" t="s">
        <v>505</v>
      </c>
      <c r="C172" s="1" t="s">
        <v>163</v>
      </c>
      <c r="D172" s="1" t="s">
        <v>506</v>
      </c>
      <c r="F172" s="1" t="s">
        <v>425</v>
      </c>
      <c r="G172" s="1">
        <f>ROUNDDOWN($B$94/2,0)+2</f>
        <v>2</v>
      </c>
      <c r="H172" s="1">
        <f>ROUNDDOWN($B$95/2,0)+2</f>
        <v>6</v>
      </c>
    </row>
    <row r="173" spans="1:8" ht="10.5">
      <c r="A173" s="1" t="s">
        <v>507</v>
      </c>
      <c r="B173" s="1" t="s">
        <v>503</v>
      </c>
      <c r="C173" s="1" t="s">
        <v>394</v>
      </c>
      <c r="D173" s="1" t="s">
        <v>395</v>
      </c>
      <c r="F173" s="1" t="s">
        <v>425</v>
      </c>
      <c r="G173" s="1">
        <f>ROUNDDOWN($B$94/2,0)+1</f>
        <v>1</v>
      </c>
      <c r="H173" s="1">
        <f>ROUNDDOWN($B$95/2,0)+1</f>
        <v>5</v>
      </c>
    </row>
    <row r="174" spans="1:8" ht="10.5">
      <c r="A174" s="1" t="s">
        <v>508</v>
      </c>
      <c r="B174" s="1" t="s">
        <v>505</v>
      </c>
      <c r="C174" s="1" t="s">
        <v>394</v>
      </c>
      <c r="D174" s="1" t="s">
        <v>506</v>
      </c>
      <c r="F174" s="1" t="s">
        <v>425</v>
      </c>
      <c r="G174" s="1">
        <f>ROUNDDOWN($B$94/2,0)+3</f>
        <v>3</v>
      </c>
      <c r="H174" s="1">
        <f>ROUNDDOWN($B$95/2,0)+3</f>
        <v>7</v>
      </c>
    </row>
    <row r="175" spans="1:8" ht="10.5">
      <c r="A175" s="1" t="s">
        <v>509</v>
      </c>
      <c r="B175" s="1" t="s">
        <v>510</v>
      </c>
      <c r="C175" s="1" t="s">
        <v>163</v>
      </c>
      <c r="D175" s="1" t="s">
        <v>506</v>
      </c>
      <c r="F175" s="1" t="s">
        <v>425</v>
      </c>
      <c r="G175" s="1">
        <f>ROUNDDOWN($B$94/2,0)+1</f>
        <v>1</v>
      </c>
      <c r="H175" s="1">
        <f>ROUNDDOWN($B$95/2,0)+1</f>
        <v>5</v>
      </c>
    </row>
    <row r="176" spans="1:8" ht="10.5">
      <c r="A176" s="1" t="s">
        <v>511</v>
      </c>
      <c r="B176" s="1" t="s">
        <v>510</v>
      </c>
      <c r="C176" s="1" t="s">
        <v>394</v>
      </c>
      <c r="D176" s="1" t="s">
        <v>506</v>
      </c>
      <c r="F176" s="1" t="s">
        <v>425</v>
      </c>
      <c r="G176" s="1">
        <f>ROUNDDOWN($B$94/2,0)+2</f>
        <v>2</v>
      </c>
      <c r="H176" s="1">
        <f>ROUNDDOWN($B$95/2,0)+2</f>
        <v>6</v>
      </c>
    </row>
    <row r="177" spans="1:8" ht="10.5">
      <c r="A177" s="1" t="s">
        <v>512</v>
      </c>
      <c r="B177" s="1" t="s">
        <v>513</v>
      </c>
      <c r="C177" s="1" t="s">
        <v>163</v>
      </c>
      <c r="D177" s="1" t="s">
        <v>395</v>
      </c>
      <c r="F177" s="1" t="s">
        <v>425</v>
      </c>
      <c r="G177" s="1">
        <f>ROUNDDOWN($B$94/2,0)</f>
        <v>0</v>
      </c>
      <c r="H177" s="1">
        <f>ROUNDDOWN($B$95/2,0)</f>
        <v>4</v>
      </c>
    </row>
    <row r="178" spans="1:8" ht="10.5">
      <c r="A178" s="1" t="s">
        <v>514</v>
      </c>
      <c r="B178" s="1" t="s">
        <v>513</v>
      </c>
      <c r="C178" s="1" t="s">
        <v>394</v>
      </c>
      <c r="D178" s="1" t="s">
        <v>395</v>
      </c>
      <c r="F178" s="1" t="s">
        <v>425</v>
      </c>
      <c r="G178" s="1">
        <f>ROUNDDOWN($B$94/2,0)+1</f>
        <v>1</v>
      </c>
      <c r="H178" s="1">
        <f>ROUNDDOWN($B$95/2,0)+1</f>
        <v>5</v>
      </c>
    </row>
    <row r="179" spans="1:8" ht="10.5">
      <c r="A179" s="1" t="s">
        <v>515</v>
      </c>
      <c r="B179" s="1" t="s">
        <v>503</v>
      </c>
      <c r="C179" s="1" t="s">
        <v>163</v>
      </c>
      <c r="D179" s="1" t="s">
        <v>401</v>
      </c>
      <c r="F179" s="1" t="s">
        <v>425</v>
      </c>
      <c r="G179" s="1">
        <f>ROUNDDOWN($B$94/2,0)</f>
        <v>0</v>
      </c>
      <c r="H179" s="1">
        <f>ROUNDDOWN($B$95/2,0)</f>
        <v>4</v>
      </c>
    </row>
    <row r="180" spans="1:8" ht="10.5">
      <c r="A180" s="1" t="s">
        <v>516</v>
      </c>
      <c r="B180" s="1" t="s">
        <v>503</v>
      </c>
      <c r="C180" s="1" t="s">
        <v>394</v>
      </c>
      <c r="D180" s="1" t="s">
        <v>401</v>
      </c>
      <c r="F180" s="1" t="s">
        <v>425</v>
      </c>
      <c r="G180" s="1">
        <f>ROUNDDOWN($B$94/2,0)+1</f>
        <v>1</v>
      </c>
      <c r="H180" s="1">
        <f>ROUNDDOWN($B$95/2,0)+1</f>
        <v>5</v>
      </c>
    </row>
    <row r="181" spans="1:8" ht="10.5">
      <c r="A181" s="1" t="s">
        <v>517</v>
      </c>
      <c r="B181" s="1" t="s">
        <v>505</v>
      </c>
      <c r="C181" s="1" t="s">
        <v>163</v>
      </c>
      <c r="D181" s="1" t="s">
        <v>506</v>
      </c>
      <c r="F181" s="1" t="s">
        <v>425</v>
      </c>
      <c r="G181" s="1">
        <f>ROUNDDOWN($B$94/2,0)+2</f>
        <v>2</v>
      </c>
      <c r="H181" s="1">
        <f>ROUNDDOWN($B$95/2,0)+2</f>
        <v>6</v>
      </c>
    </row>
    <row r="182" spans="1:8" ht="10.5">
      <c r="A182" s="1" t="s">
        <v>518</v>
      </c>
      <c r="B182" s="1" t="s">
        <v>505</v>
      </c>
      <c r="C182" s="1" t="s">
        <v>394</v>
      </c>
      <c r="D182" s="1" t="s">
        <v>506</v>
      </c>
      <c r="F182" s="1" t="s">
        <v>425</v>
      </c>
      <c r="G182" s="1">
        <f>ROUNDDOWN($B$94/2,0)+3</f>
        <v>3</v>
      </c>
      <c r="H182" s="1">
        <f>ROUNDDOWN($B$95/2,0)+3</f>
        <v>7</v>
      </c>
    </row>
    <row r="183" spans="1:8" ht="10.5">
      <c r="A183" s="1" t="s">
        <v>519</v>
      </c>
      <c r="B183" s="1" t="s">
        <v>520</v>
      </c>
      <c r="C183" s="1" t="s">
        <v>163</v>
      </c>
      <c r="D183" s="1" t="s">
        <v>506</v>
      </c>
      <c r="F183" s="1" t="s">
        <v>425</v>
      </c>
      <c r="G183" s="1">
        <f>ROUNDDOWN($B$94/2,0)+2</f>
        <v>2</v>
      </c>
      <c r="H183" s="1">
        <f>ROUNDDOWN($B$95/2,0)+2</f>
        <v>6</v>
      </c>
    </row>
    <row r="184" spans="1:8" ht="10.5">
      <c r="A184" s="1" t="s">
        <v>521</v>
      </c>
      <c r="B184" s="1" t="s">
        <v>520</v>
      </c>
      <c r="C184" s="1" t="s">
        <v>394</v>
      </c>
      <c r="D184" s="1" t="s">
        <v>506</v>
      </c>
      <c r="F184" s="1" t="s">
        <v>425</v>
      </c>
      <c r="G184" s="1">
        <f>ROUNDDOWN($B$94/2,0)+3</f>
        <v>3</v>
      </c>
      <c r="H184" s="1">
        <f>ROUNDDOWN($B$95/2,0)+3</f>
        <v>7</v>
      </c>
    </row>
    <row r="185" spans="1:8" ht="10.5">
      <c r="A185" s="1" t="s">
        <v>272</v>
      </c>
      <c r="B185" s="1" t="s">
        <v>513</v>
      </c>
      <c r="C185" s="1" t="s">
        <v>394</v>
      </c>
      <c r="D185" s="1" t="s">
        <v>395</v>
      </c>
      <c r="F185" s="1" t="s">
        <v>425</v>
      </c>
      <c r="G185" s="1">
        <f>ROUNDDOWN($B$94/2,0)+1</f>
        <v>1</v>
      </c>
      <c r="H185" s="1">
        <f>ROUNDDOWN($B$95/2,0)+1</f>
        <v>5</v>
      </c>
    </row>
    <row r="186" ht="10.5">
      <c r="A186" s="1" t="s">
        <v>522</v>
      </c>
    </row>
    <row r="187" spans="1:8" ht="10.5">
      <c r="A187" s="1" t="s">
        <v>259</v>
      </c>
      <c r="B187" s="1" t="s">
        <v>523</v>
      </c>
      <c r="C187" s="1" t="s">
        <v>394</v>
      </c>
      <c r="D187" s="1" t="s">
        <v>395</v>
      </c>
      <c r="F187" s="1" t="s">
        <v>425</v>
      </c>
      <c r="G187" s="1">
        <f>ROUNDDOWN($B$94/2,0)+3</f>
        <v>3</v>
      </c>
      <c r="H187" s="1">
        <f>ROUNDDOWN($B$95/2,0)+3</f>
        <v>7</v>
      </c>
    </row>
    <row r="188" spans="1:8" ht="10.5">
      <c r="A188" s="1" t="s">
        <v>524</v>
      </c>
      <c r="B188" s="1" t="s">
        <v>525</v>
      </c>
      <c r="C188" s="1" t="s">
        <v>163</v>
      </c>
      <c r="D188" s="1" t="s">
        <v>395</v>
      </c>
      <c r="F188" s="1" t="s">
        <v>425</v>
      </c>
      <c r="G188" s="1">
        <f>ROUNDDOWN($B$94/2,0)</f>
        <v>0</v>
      </c>
      <c r="H188" s="1">
        <f>ROUNDDOWN($B$95/2,0)</f>
        <v>4</v>
      </c>
    </row>
    <row r="189" spans="1:8" ht="10.5">
      <c r="A189" s="1" t="s">
        <v>526</v>
      </c>
      <c r="B189" s="1" t="s">
        <v>527</v>
      </c>
      <c r="C189" s="1" t="s">
        <v>163</v>
      </c>
      <c r="D189" s="1" t="s">
        <v>506</v>
      </c>
      <c r="F189" s="1" t="s">
        <v>425</v>
      </c>
      <c r="G189" s="1">
        <f>ROUNDDOWN($B$94/2,0)+2</f>
        <v>2</v>
      </c>
      <c r="H189" s="1">
        <f>ROUNDDOWN($B$95/2,0)+2</f>
        <v>6</v>
      </c>
    </row>
    <row r="190" spans="1:8" ht="10.5">
      <c r="A190" s="1" t="s">
        <v>528</v>
      </c>
      <c r="B190" s="1" t="s">
        <v>525</v>
      </c>
      <c r="C190" s="1" t="s">
        <v>163</v>
      </c>
      <c r="D190" s="1" t="s">
        <v>395</v>
      </c>
      <c r="F190" s="1" t="s">
        <v>425</v>
      </c>
      <c r="G190" s="1">
        <f>ROUNDDOWN($B$94/2,0)</f>
        <v>0</v>
      </c>
      <c r="H190" s="1">
        <f>ROUNDDOWN($B$95/2,0)</f>
        <v>4</v>
      </c>
    </row>
    <row r="191" spans="1:8" ht="10.5">
      <c r="A191" s="1" t="s">
        <v>529</v>
      </c>
      <c r="B191" s="1" t="s">
        <v>527</v>
      </c>
      <c r="C191" s="1" t="s">
        <v>163</v>
      </c>
      <c r="D191" s="1" t="s">
        <v>506</v>
      </c>
      <c r="F191" s="1" t="s">
        <v>425</v>
      </c>
      <c r="G191" s="1">
        <f>ROUNDDOWN($B$94/2,0)+2</f>
        <v>2</v>
      </c>
      <c r="H191" s="1">
        <f>ROUNDDOWN($B$95/2,0)+2</f>
        <v>6</v>
      </c>
    </row>
    <row r="192" spans="1:8" ht="10.5">
      <c r="A192" s="1" t="s">
        <v>530</v>
      </c>
      <c r="B192" s="1" t="s">
        <v>525</v>
      </c>
      <c r="C192" s="1" t="s">
        <v>163</v>
      </c>
      <c r="D192" s="1" t="s">
        <v>395</v>
      </c>
      <c r="F192" s="1" t="s">
        <v>425</v>
      </c>
      <c r="G192" s="1">
        <f>ROUNDDOWN($B$94/2,0)+2</f>
        <v>2</v>
      </c>
      <c r="H192" s="1">
        <f>ROUNDDOWN($B$95/2,0)+2</f>
        <v>6</v>
      </c>
    </row>
    <row r="193" spans="1:8" ht="10.5">
      <c r="A193" s="1" t="s">
        <v>531</v>
      </c>
      <c r="B193" s="1" t="s">
        <v>527</v>
      </c>
      <c r="C193" s="1" t="s">
        <v>163</v>
      </c>
      <c r="D193" s="1" t="s">
        <v>506</v>
      </c>
      <c r="F193" s="1" t="s">
        <v>425</v>
      </c>
      <c r="G193" s="1">
        <f>ROUNDDOWN($B$94/2,0)+4</f>
        <v>4</v>
      </c>
      <c r="H193" s="1">
        <f>ROUNDDOWN($B$95/2,0)+4</f>
        <v>8</v>
      </c>
    </row>
    <row r="194" spans="1:8" ht="10.5">
      <c r="A194" s="1" t="s">
        <v>532</v>
      </c>
      <c r="B194" s="1" t="s">
        <v>523</v>
      </c>
      <c r="C194" s="1" t="s">
        <v>394</v>
      </c>
      <c r="D194" s="1" t="str">
        <f>CONCATENATE("LOS (Wt: ",B94,"kg",", Str: ",ROUND(B94/2,0),")")</f>
        <v>LOS (Wt: 0kg, Str: 0)</v>
      </c>
      <c r="F194" s="1" t="s">
        <v>396</v>
      </c>
      <c r="G194" s="1">
        <f>ROUNDDOWN($B$94/2,0)+1</f>
        <v>1</v>
      </c>
      <c r="H194" s="1">
        <f>ROUNDDOWN($B$95/2,0)+1</f>
        <v>5</v>
      </c>
    </row>
    <row r="195" spans="1:8" ht="10.5">
      <c r="A195" s="1" t="s">
        <v>533</v>
      </c>
      <c r="B195" s="1" t="s">
        <v>534</v>
      </c>
      <c r="C195" s="1" t="s">
        <v>394</v>
      </c>
      <c r="D195" s="1" t="s">
        <v>506</v>
      </c>
      <c r="F195" s="1" t="s">
        <v>396</v>
      </c>
      <c r="G195" s="1">
        <f>ROUNDDOWN($B$94/2,0)+3</f>
        <v>3</v>
      </c>
      <c r="H195" s="1">
        <f>ROUNDDOWN($B$95/2,0)+3</f>
        <v>7</v>
      </c>
    </row>
    <row r="196" spans="1:8" ht="10.5">
      <c r="A196" s="1" t="s">
        <v>535</v>
      </c>
      <c r="B196" s="1" t="s">
        <v>523</v>
      </c>
      <c r="C196" s="1" t="s">
        <v>394</v>
      </c>
      <c r="D196" s="1" t="s">
        <v>395</v>
      </c>
      <c r="E196" s="1" t="str">
        <f>CONCATENATE($B$94,"P")</f>
        <v>0P</v>
      </c>
      <c r="F196" s="1" t="s">
        <v>450</v>
      </c>
      <c r="G196" s="1">
        <f>ROUNDDOWN($B$94/2,0)</f>
        <v>0</v>
      </c>
      <c r="H196" s="1">
        <f>ROUNDDOWN($B$95/2,0)</f>
        <v>4</v>
      </c>
    </row>
    <row r="197" spans="1:8" ht="10.5">
      <c r="A197" s="1" t="s">
        <v>536</v>
      </c>
      <c r="B197" s="1" t="s">
        <v>525</v>
      </c>
      <c r="C197" s="1" t="s">
        <v>163</v>
      </c>
      <c r="D197" s="1" t="s">
        <v>395</v>
      </c>
      <c r="F197" s="1" t="s">
        <v>450</v>
      </c>
      <c r="G197" s="1">
        <f>ROUNDDOWN($B$94/2,0)+1</f>
        <v>1</v>
      </c>
      <c r="H197" s="1">
        <f>ROUNDDOWN($B$95/2,0)+1</f>
        <v>5</v>
      </c>
    </row>
    <row r="198" spans="1:8" ht="10.5">
      <c r="A198" s="1" t="s">
        <v>537</v>
      </c>
      <c r="B198" s="1" t="s">
        <v>523</v>
      </c>
      <c r="C198" s="1" t="s">
        <v>394</v>
      </c>
      <c r="D198" s="1" t="s">
        <v>395</v>
      </c>
      <c r="F198" s="1" t="s">
        <v>425</v>
      </c>
      <c r="G198" s="1">
        <f>ROUNDDOWN($B$94/2,0)+1</f>
        <v>1</v>
      </c>
      <c r="H198" s="1">
        <f>ROUNDDOWN($B$95/2,0)+1</f>
        <v>5</v>
      </c>
    </row>
    <row r="199" spans="1:8" ht="10.5">
      <c r="A199" s="1" t="s">
        <v>538</v>
      </c>
      <c r="B199" s="1" t="s">
        <v>534</v>
      </c>
      <c r="C199" s="1" t="s">
        <v>394</v>
      </c>
      <c r="D199" s="1" t="str">
        <f>CONCATENATE("LOS (Radius: ",$B$94,"m)")</f>
        <v>LOS (Radius: 0m)</v>
      </c>
      <c r="F199" s="1" t="s">
        <v>425</v>
      </c>
      <c r="G199" s="1">
        <f>MAX(1,ROUNDDOWN($B$94/2,0)-1)</f>
        <v>1</v>
      </c>
      <c r="H199" s="1">
        <f>MAX(1,ROUNDDOWN($B$95/2,0)-1)</f>
        <v>3</v>
      </c>
    </row>
    <row r="200" spans="1:8" ht="10.5">
      <c r="A200" s="1" t="s">
        <v>539</v>
      </c>
      <c r="B200" s="1" t="s">
        <v>523</v>
      </c>
      <c r="C200" s="1" t="s">
        <v>394</v>
      </c>
      <c r="D200" s="1" t="s">
        <v>395</v>
      </c>
      <c r="F200" s="1" t="s">
        <v>425</v>
      </c>
      <c r="G200" s="1">
        <f>ROUNDDOWN($B$94/2,0)+1</f>
        <v>1</v>
      </c>
      <c r="H200" s="1">
        <f>ROUNDDOWN($B$95/2,0)+1</f>
        <v>5</v>
      </c>
    </row>
    <row r="201" spans="1:8" ht="10.5">
      <c r="A201" s="1" t="s">
        <v>540</v>
      </c>
      <c r="B201" s="1" t="s">
        <v>534</v>
      </c>
      <c r="C201" s="1" t="s">
        <v>163</v>
      </c>
      <c r="D201" s="1" t="s">
        <v>506</v>
      </c>
      <c r="F201" s="1" t="s">
        <v>425</v>
      </c>
      <c r="G201" s="1">
        <f>ROUNDDOWN($B$94/2,0)+1</f>
        <v>1</v>
      </c>
      <c r="H201" s="1">
        <f>ROUNDDOWN($B$95/2,0)+1</f>
        <v>5</v>
      </c>
    </row>
    <row r="202" spans="1:8" ht="10.5">
      <c r="A202" s="1" t="s">
        <v>541</v>
      </c>
      <c r="B202" s="1" t="s">
        <v>523</v>
      </c>
      <c r="C202" s="1" t="s">
        <v>394</v>
      </c>
      <c r="D202" s="1" t="s">
        <v>395</v>
      </c>
      <c r="F202" s="1" t="s">
        <v>425</v>
      </c>
      <c r="G202" s="1">
        <f>ROUNDDOWN($B$94/2,0)+2</f>
        <v>2</v>
      </c>
      <c r="H202" s="1">
        <f>ROUNDDOWN($B$95/2,0)+2</f>
        <v>6</v>
      </c>
    </row>
    <row r="203" spans="1:8" ht="10.5">
      <c r="A203" s="1" t="s">
        <v>542</v>
      </c>
      <c r="B203" s="1" t="s">
        <v>534</v>
      </c>
      <c r="C203" s="1" t="s">
        <v>394</v>
      </c>
      <c r="D203" s="1" t="s">
        <v>506</v>
      </c>
      <c r="F203" s="1" t="s">
        <v>425</v>
      </c>
      <c r="G203" s="1">
        <f>ROUNDDOWN($B$94/2,0)+3</f>
        <v>3</v>
      </c>
      <c r="H203" s="1">
        <f>ROUNDDOWN($B$95/2,0)+3</f>
        <v>7</v>
      </c>
    </row>
    <row r="204" spans="1:8" ht="10.5">
      <c r="A204" s="1" t="s">
        <v>543</v>
      </c>
      <c r="B204" s="1" t="s">
        <v>534</v>
      </c>
      <c r="C204" s="1" t="s">
        <v>394</v>
      </c>
      <c r="D204" s="1" t="s">
        <v>506</v>
      </c>
      <c r="F204" s="1" t="s">
        <v>425</v>
      </c>
      <c r="G204" s="1">
        <f>ROUNDDOWN($B$94/2,0)+3</f>
        <v>3</v>
      </c>
      <c r="H204" s="1">
        <f>ROUNDDOWN($B$95/2,0)+3</f>
        <v>7</v>
      </c>
    </row>
    <row r="205" spans="1:8" ht="10.5">
      <c r="A205" s="1" t="s">
        <v>544</v>
      </c>
      <c r="B205" s="1" t="s">
        <v>534</v>
      </c>
      <c r="C205" s="1" t="s">
        <v>394</v>
      </c>
      <c r="D205" s="1" t="s">
        <v>506</v>
      </c>
      <c r="F205" s="1" t="s">
        <v>425</v>
      </c>
      <c r="G205" s="1">
        <f>ROUNDDOWN($B$94/2,0)+1</f>
        <v>1</v>
      </c>
      <c r="H205" s="1">
        <f>ROUNDDOWN($B$95/2,0)+1</f>
        <v>5</v>
      </c>
    </row>
    <row r="206" spans="1:8" ht="10.5">
      <c r="A206" s="1" t="s">
        <v>545</v>
      </c>
      <c r="B206" s="1" t="s">
        <v>523</v>
      </c>
      <c r="C206" s="1" t="s">
        <v>394</v>
      </c>
      <c r="D206" s="1" t="s">
        <v>395</v>
      </c>
      <c r="F206" s="1" t="s">
        <v>425</v>
      </c>
      <c r="G206" s="1">
        <f>ROUNDDOWN($B$94/2,0)+2</f>
        <v>2</v>
      </c>
      <c r="H206" s="1">
        <f>ROUNDDOWN($B$95/2,0)+2</f>
        <v>6</v>
      </c>
    </row>
    <row r="207" spans="1:8" ht="10.5">
      <c r="A207" s="1" t="s">
        <v>546</v>
      </c>
      <c r="B207" s="1" t="s">
        <v>523</v>
      </c>
      <c r="C207" s="1" t="s">
        <v>394</v>
      </c>
      <c r="D207" s="1" t="s">
        <v>395</v>
      </c>
      <c r="F207" s="1" t="s">
        <v>425</v>
      </c>
      <c r="G207" s="1">
        <f>ROUNDDOWN($B$94/2,0)+1</f>
        <v>1</v>
      </c>
      <c r="H207" s="1">
        <f>ROUNDDOWN($B$95/2,0)+1</f>
        <v>5</v>
      </c>
    </row>
    <row r="208" spans="1:8" ht="10.5">
      <c r="A208" s="1" t="s">
        <v>547</v>
      </c>
      <c r="B208" s="1" t="s">
        <v>523</v>
      </c>
      <c r="C208" s="1" t="s">
        <v>394</v>
      </c>
      <c r="D208" s="1" t="s">
        <v>395</v>
      </c>
      <c r="F208" s="1" t="s">
        <v>425</v>
      </c>
      <c r="G208" s="1">
        <f>ROUNDDOWN($B$94/2,0)+2</f>
        <v>2</v>
      </c>
      <c r="H208" s="1">
        <f>ROUNDDOWN($B$95/2,0)+2</f>
        <v>6</v>
      </c>
    </row>
    <row r="209" spans="1:29" ht="12.75">
      <c r="A209" s="1" t="s">
        <v>548</v>
      </c>
      <c r="AC209" s="95"/>
    </row>
    <row r="210" ht="12.75">
      <c r="AC210" s="95"/>
    </row>
    <row r="211" ht="12.75">
      <c r="AC211" s="95"/>
    </row>
    <row r="212" spans="1:29" ht="12.75">
      <c r="A212" s="4" t="s">
        <v>112</v>
      </c>
      <c r="AC212" s="95"/>
    </row>
    <row r="213" spans="1:29" ht="12.75">
      <c r="A213" s="1" t="s">
        <v>116</v>
      </c>
      <c r="AC213" s="95"/>
    </row>
    <row r="214" spans="1:29" ht="12.75">
      <c r="A214" s="1" t="s">
        <v>549</v>
      </c>
      <c r="AC214" s="95"/>
    </row>
    <row r="215" spans="1:29" ht="12.75">
      <c r="A215" s="1" t="s">
        <v>550</v>
      </c>
      <c r="AC215" s="95"/>
    </row>
    <row r="216" spans="1:29" ht="12.75">
      <c r="A216" s="1" t="s">
        <v>551</v>
      </c>
      <c r="AC216" s="95"/>
    </row>
    <row r="217" spans="1:29" ht="12.75">
      <c r="A217" s="1" t="s">
        <v>552</v>
      </c>
      <c r="AC217" s="95"/>
    </row>
    <row r="218" spans="1:29" ht="12.75">
      <c r="A218" s="1" t="s">
        <v>553</v>
      </c>
      <c r="AC218" s="95"/>
    </row>
    <row r="219" spans="1:29" ht="12.75">
      <c r="A219" s="1" t="s">
        <v>554</v>
      </c>
      <c r="AC219" s="95"/>
    </row>
    <row r="220" spans="1:29" ht="12.75">
      <c r="A220" s="1" t="s">
        <v>555</v>
      </c>
      <c r="AC220" s="95"/>
    </row>
    <row r="221" spans="1:29" ht="12.75">
      <c r="A221" s="1" t="s">
        <v>556</v>
      </c>
      <c r="AC221" s="95"/>
    </row>
    <row r="222" spans="1:29" ht="12.75">
      <c r="A222" s="1" t="s">
        <v>557</v>
      </c>
      <c r="AC222" s="95"/>
    </row>
    <row r="223" spans="1:29" ht="12.75">
      <c r="A223" s="1" t="s">
        <v>558</v>
      </c>
      <c r="AC223" s="95"/>
    </row>
    <row r="224" ht="10.5">
      <c r="A224" s="1" t="s">
        <v>114</v>
      </c>
    </row>
    <row r="225" ht="10.5">
      <c r="A225" s="1" t="s">
        <v>559</v>
      </c>
    </row>
    <row r="226" ht="12.75">
      <c r="AC226" s="95"/>
    </row>
    <row r="227" spans="1:29" ht="12.75">
      <c r="A227" s="4" t="s">
        <v>225</v>
      </c>
      <c r="B227" s="4" t="s">
        <v>560</v>
      </c>
      <c r="F227" s="4" t="s">
        <v>22</v>
      </c>
      <c r="G227" s="4" t="s">
        <v>561</v>
      </c>
      <c r="H227" s="4" t="s">
        <v>562</v>
      </c>
      <c r="I227" s="4" t="s">
        <v>563</v>
      </c>
      <c r="J227" s="4" t="s">
        <v>564</v>
      </c>
      <c r="K227" s="4" t="s">
        <v>565</v>
      </c>
      <c r="L227" s="4" t="s">
        <v>566</v>
      </c>
      <c r="M227" s="4" t="s">
        <v>567</v>
      </c>
      <c r="N227" s="4" t="s">
        <v>568</v>
      </c>
      <c r="O227" s="4" t="s">
        <v>569</v>
      </c>
      <c r="P227" s="4" t="s">
        <v>570</v>
      </c>
      <c r="Q227" s="4" t="s">
        <v>571</v>
      </c>
      <c r="R227" s="4"/>
      <c r="S227" s="4" t="s">
        <v>572</v>
      </c>
      <c r="T227" s="4" t="s">
        <v>573</v>
      </c>
      <c r="AC227" s="95"/>
    </row>
    <row r="228" spans="1:29" ht="12.75">
      <c r="A228" s="1" t="s">
        <v>574</v>
      </c>
      <c r="B228" s="1">
        <v>1</v>
      </c>
      <c r="C228" s="1" t="s">
        <v>575</v>
      </c>
      <c r="AC228" s="95"/>
    </row>
    <row r="229" spans="1:29" ht="12.75">
      <c r="A229" s="1" t="s">
        <v>576</v>
      </c>
      <c r="B229" s="1">
        <v>0.25</v>
      </c>
      <c r="C229" s="1" t="s">
        <v>577</v>
      </c>
      <c r="AC229" s="95"/>
    </row>
    <row r="230" spans="1:29" ht="12.75">
      <c r="A230" s="1" t="s">
        <v>430</v>
      </c>
      <c r="B230" s="1">
        <v>0.5</v>
      </c>
      <c r="C230" s="1" t="s">
        <v>578</v>
      </c>
      <c r="T230" s="1">
        <v>1</v>
      </c>
      <c r="AC230" s="95"/>
    </row>
    <row r="231" spans="1:29" ht="12.75">
      <c r="A231" s="1" t="s">
        <v>579</v>
      </c>
      <c r="B231" s="1">
        <v>0.25</v>
      </c>
      <c r="C231" s="1" t="s">
        <v>580</v>
      </c>
      <c r="T231" s="1">
        <v>1</v>
      </c>
      <c r="AC231" s="95"/>
    </row>
    <row r="232" spans="1:29" ht="12.75">
      <c r="A232" s="1" t="s">
        <v>581</v>
      </c>
      <c r="B232" s="1">
        <v>0.25</v>
      </c>
      <c r="C232" s="1" t="s">
        <v>582</v>
      </c>
      <c r="T232" s="1">
        <v>1</v>
      </c>
      <c r="AC232" s="95"/>
    </row>
    <row r="233" spans="1:29" ht="12.75">
      <c r="A233" s="1" t="s">
        <v>583</v>
      </c>
      <c r="B233" s="1">
        <v>0.25</v>
      </c>
      <c r="C233" s="1" t="s">
        <v>584</v>
      </c>
      <c r="T233" s="1">
        <v>1</v>
      </c>
      <c r="AC233" s="95"/>
    </row>
    <row r="234" spans="1:29" ht="12.75">
      <c r="A234" s="1" t="s">
        <v>585</v>
      </c>
      <c r="B234" s="1">
        <v>0.5</v>
      </c>
      <c r="C234" s="1" t="s">
        <v>586</v>
      </c>
      <c r="T234" s="1">
        <v>1</v>
      </c>
      <c r="AC234" s="95"/>
    </row>
    <row r="235" spans="1:29" ht="12.75">
      <c r="A235" s="1" t="s">
        <v>587</v>
      </c>
      <c r="B235" s="1">
        <v>0.25</v>
      </c>
      <c r="C235" s="1" t="s">
        <v>588</v>
      </c>
      <c r="T235" s="1">
        <v>1</v>
      </c>
      <c r="AC235" s="95"/>
    </row>
    <row r="236" spans="1:29" ht="12.75">
      <c r="A236" s="1" t="s">
        <v>589</v>
      </c>
      <c r="B236" s="1">
        <v>1</v>
      </c>
      <c r="C236" s="1" t="s">
        <v>590</v>
      </c>
      <c r="F236" s="1">
        <v>1</v>
      </c>
      <c r="T236" s="1">
        <v>1</v>
      </c>
      <c r="AC236" s="95"/>
    </row>
    <row r="237" spans="1:29" ht="12.75">
      <c r="A237" s="1" t="s">
        <v>591</v>
      </c>
      <c r="B237" s="1">
        <v>1</v>
      </c>
      <c r="C237" s="1" t="s">
        <v>592</v>
      </c>
      <c r="G237" s="1">
        <v>1</v>
      </c>
      <c r="T237" s="1">
        <v>1</v>
      </c>
      <c r="AC237" s="95"/>
    </row>
    <row r="238" spans="1:29" ht="12.75">
      <c r="A238" s="1" t="s">
        <v>593</v>
      </c>
      <c r="B238" s="1">
        <v>1</v>
      </c>
      <c r="C238" s="1" t="s">
        <v>594</v>
      </c>
      <c r="H238" s="1">
        <v>1</v>
      </c>
      <c r="T238" s="1">
        <v>1</v>
      </c>
      <c r="AC238" s="95"/>
    </row>
    <row r="239" spans="1:29" ht="12.75">
      <c r="A239" s="1" t="s">
        <v>595</v>
      </c>
      <c r="B239" s="1">
        <v>1</v>
      </c>
      <c r="C239" s="1" t="s">
        <v>596</v>
      </c>
      <c r="I239" s="1">
        <v>1</v>
      </c>
      <c r="T239" s="1">
        <v>1</v>
      </c>
      <c r="AC239" s="95"/>
    </row>
    <row r="240" spans="1:29" ht="12.75">
      <c r="A240" s="1" t="s">
        <v>597</v>
      </c>
      <c r="B240" s="1">
        <v>2</v>
      </c>
      <c r="C240" s="1" t="s">
        <v>598</v>
      </c>
      <c r="H240" s="1">
        <v>1</v>
      </c>
      <c r="Q240" s="1">
        <v>1</v>
      </c>
      <c r="AC240" s="95"/>
    </row>
    <row r="241" spans="1:29" ht="12.75">
      <c r="A241" s="1" t="s">
        <v>599</v>
      </c>
      <c r="B241" s="1">
        <v>3</v>
      </c>
      <c r="C241" s="1" t="s">
        <v>600</v>
      </c>
      <c r="H241" s="1">
        <v>2</v>
      </c>
      <c r="Q241" s="1">
        <v>2</v>
      </c>
      <c r="AC241" s="95"/>
    </row>
    <row r="242" spans="1:29" ht="12.75">
      <c r="A242" s="1" t="s">
        <v>601</v>
      </c>
      <c r="B242" s="1">
        <v>5</v>
      </c>
      <c r="C242" s="1" t="s">
        <v>602</v>
      </c>
      <c r="H242" s="1">
        <v>3</v>
      </c>
      <c r="Q242" s="1">
        <v>3</v>
      </c>
      <c r="AC242" s="95"/>
    </row>
    <row r="243" spans="1:29" ht="12.75">
      <c r="A243" s="1" t="s">
        <v>603</v>
      </c>
      <c r="B243" s="1">
        <v>0.25</v>
      </c>
      <c r="C243" s="1" t="s">
        <v>604</v>
      </c>
      <c r="AC243" s="95"/>
    </row>
    <row r="244" spans="1:29" ht="12.75">
      <c r="A244" s="1" t="s">
        <v>605</v>
      </c>
      <c r="B244" s="1">
        <v>0.5</v>
      </c>
      <c r="C244" s="1" t="s">
        <v>606</v>
      </c>
      <c r="AC244" s="95"/>
    </row>
    <row r="245" spans="1:29" ht="12.75">
      <c r="A245" s="1" t="s">
        <v>607</v>
      </c>
      <c r="B245" s="1">
        <v>0.5</v>
      </c>
      <c r="C245" s="1" t="s">
        <v>608</v>
      </c>
      <c r="T245" s="1">
        <v>1</v>
      </c>
      <c r="AC245" s="95"/>
    </row>
    <row r="246" spans="1:29" ht="12.75">
      <c r="A246" s="1" t="s">
        <v>609</v>
      </c>
      <c r="B246" s="1">
        <v>0.25</v>
      </c>
      <c r="C246" s="1" t="s">
        <v>610</v>
      </c>
      <c r="T246" s="1">
        <v>1</v>
      </c>
      <c r="AC246" s="95"/>
    </row>
    <row r="247" spans="1:29" ht="12.75">
      <c r="A247" s="1" t="s">
        <v>611</v>
      </c>
      <c r="B247" s="1">
        <v>0.5</v>
      </c>
      <c r="C247" s="1" t="s">
        <v>612</v>
      </c>
      <c r="O247" s="1">
        <v>1</v>
      </c>
      <c r="P247" s="1">
        <v>1</v>
      </c>
      <c r="T247" s="1">
        <v>1</v>
      </c>
      <c r="AC247" s="95"/>
    </row>
    <row r="248" spans="1:29" ht="12.75">
      <c r="A248" s="1" t="s">
        <v>613</v>
      </c>
      <c r="B248" s="1">
        <v>0.5</v>
      </c>
      <c r="C248" s="1" t="s">
        <v>614</v>
      </c>
      <c r="AC248" s="95"/>
    </row>
    <row r="249" spans="1:29" ht="12.75">
      <c r="A249" s="1" t="s">
        <v>615</v>
      </c>
      <c r="B249" s="1">
        <v>0.25</v>
      </c>
      <c r="C249" s="1" t="s">
        <v>616</v>
      </c>
      <c r="T249" s="1">
        <v>1</v>
      </c>
      <c r="AC249" s="95"/>
    </row>
    <row r="250" spans="1:29" ht="12.75">
      <c r="A250" s="1" t="s">
        <v>617</v>
      </c>
      <c r="B250" s="1">
        <v>0.5</v>
      </c>
      <c r="C250" s="1" t="s">
        <v>618</v>
      </c>
      <c r="AC250" s="95"/>
    </row>
    <row r="251" spans="1:29" ht="12.75">
      <c r="A251" s="1" t="s">
        <v>619</v>
      </c>
      <c r="B251" s="1">
        <v>0.25</v>
      </c>
      <c r="C251" s="1" t="s">
        <v>620</v>
      </c>
      <c r="T251" s="1">
        <v>1</v>
      </c>
      <c r="AC251" s="95"/>
    </row>
    <row r="252" spans="1:29" ht="12.75">
      <c r="A252" s="1" t="s">
        <v>621</v>
      </c>
      <c r="B252" s="1">
        <v>0.5</v>
      </c>
      <c r="C252" s="1" t="s">
        <v>622</v>
      </c>
      <c r="T252" s="1">
        <v>1</v>
      </c>
      <c r="AC252" s="95"/>
    </row>
    <row r="253" ht="12.75">
      <c r="AC253" s="95"/>
    </row>
    <row r="254" ht="12.75">
      <c r="AC254" s="95"/>
    </row>
    <row r="255" spans="1:29" ht="12.75">
      <c r="A255" s="4" t="s">
        <v>623</v>
      </c>
      <c r="AC255" s="95"/>
    </row>
    <row r="256" spans="1:29" ht="12.75">
      <c r="A256" s="1" t="s">
        <v>125</v>
      </c>
      <c r="B256" s="1" t="s">
        <v>624</v>
      </c>
      <c r="C256" s="1">
        <v>10</v>
      </c>
      <c r="D256" s="1">
        <v>3</v>
      </c>
      <c r="E256" s="1">
        <v>0</v>
      </c>
      <c r="AC256" s="95"/>
    </row>
    <row r="257" spans="1:29" ht="12.75">
      <c r="A257" s="1" t="s">
        <v>625</v>
      </c>
      <c r="B257" s="1" t="s">
        <v>626</v>
      </c>
      <c r="C257" s="1">
        <v>20</v>
      </c>
      <c r="D257" s="1">
        <v>6</v>
      </c>
      <c r="E257" s="1">
        <v>500</v>
      </c>
      <c r="AC257" s="95"/>
    </row>
    <row r="258" spans="1:29" ht="12.75">
      <c r="A258" s="1" t="s">
        <v>144</v>
      </c>
      <c r="B258" s="1" t="s">
        <v>627</v>
      </c>
      <c r="C258" s="1">
        <v>50</v>
      </c>
      <c r="D258" s="1">
        <v>9</v>
      </c>
      <c r="E258" s="1">
        <v>2000</v>
      </c>
      <c r="AC258" s="95"/>
    </row>
    <row r="259" spans="1:29" ht="12.75">
      <c r="A259" s="1" t="s">
        <v>628</v>
      </c>
      <c r="B259" s="1" t="s">
        <v>629</v>
      </c>
      <c r="C259" s="1">
        <v>100</v>
      </c>
      <c r="D259" s="1">
        <v>12</v>
      </c>
      <c r="E259" s="1">
        <v>5000</v>
      </c>
      <c r="AC259" s="95"/>
    </row>
    <row r="260" spans="1:29" ht="12.75">
      <c r="A260" s="1" t="s">
        <v>630</v>
      </c>
      <c r="B260" s="1" t="s">
        <v>629</v>
      </c>
      <c r="C260" s="1">
        <v>500</v>
      </c>
      <c r="D260" s="1">
        <v>12</v>
      </c>
      <c r="E260" s="1">
        <v>10000</v>
      </c>
      <c r="AC260" s="95"/>
    </row>
    <row r="261" spans="1:29" ht="12.75">
      <c r="A261" s="1" t="s">
        <v>631</v>
      </c>
      <c r="B261" s="1" t="s">
        <v>629</v>
      </c>
      <c r="C261" s="1">
        <v>1000</v>
      </c>
      <c r="D261" s="1">
        <v>12</v>
      </c>
      <c r="E261" s="1">
        <v>100000</v>
      </c>
      <c r="AC261" s="95"/>
    </row>
    <row r="262" ht="12.75">
      <c r="AC262" s="95"/>
    </row>
    <row r="263" spans="1:29" ht="12.75">
      <c r="A263" s="63">
        <f>Sheet1!F115</f>
        <v>5</v>
      </c>
      <c r="B263" s="63" t="str">
        <f>Sheet1!B117</f>
        <v>Low</v>
      </c>
      <c r="C263" s="1">
        <f>MIN(VLOOKUP(B263,LifestyleTable,4,FALSE),ROUNDDOWN(A263/100,0))</f>
        <v>0</v>
      </c>
      <c r="AC263" s="95"/>
    </row>
    <row r="264" spans="1:29" ht="12.75">
      <c r="A264" s="1" t="str">
        <f>CONCATENATE("(",VLOOKUP(B263,LifestyleTable,2,FALSE),"+",C263,") x ",VLOOKUP(B263,LifestyleTable,3,FALSE)," ¥")</f>
        <v>(3D6+0) x 50 ¥</v>
      </c>
      <c r="AC264" s="95"/>
    </row>
    <row r="265" spans="1:29" ht="12.75">
      <c r="A265" s="7" t="s">
        <v>632</v>
      </c>
      <c r="B265" s="1">
        <f>IF(Sheet1!$B$4="Troll",1,0)</f>
        <v>0</v>
      </c>
      <c r="AC265" s="95"/>
    </row>
    <row r="266" spans="1:2" ht="10.5">
      <c r="A266" s="7" t="s">
        <v>293</v>
      </c>
      <c r="B266" s="1">
        <f>Sheet1!I14</f>
        <v>6</v>
      </c>
    </row>
    <row r="267" spans="1:5" ht="10.5">
      <c r="A267" s="7" t="s">
        <v>633</v>
      </c>
      <c r="B267" s="1">
        <f>ROUNDUP(B266/2,0)</f>
        <v>3</v>
      </c>
      <c r="C267" s="1">
        <f>MAX(S1543,S1556)</f>
        <v>3</v>
      </c>
      <c r="D267" s="1" t="str">
        <f>IF(T1556&gt;0,"P","S")</f>
        <v>P</v>
      </c>
      <c r="E267" s="1" t="str">
        <f>CONCATENATE(B267+C267,D267)</f>
        <v>6P</v>
      </c>
    </row>
    <row r="268" spans="1:6" ht="10.5">
      <c r="A268" s="4" t="s">
        <v>634</v>
      </c>
      <c r="B268" s="1" t="s">
        <v>150</v>
      </c>
      <c r="C268" s="1" t="s">
        <v>158</v>
      </c>
      <c r="D268" s="1" t="s">
        <v>151</v>
      </c>
      <c r="E268" s="1" t="s">
        <v>635</v>
      </c>
      <c r="F268" s="1" t="s">
        <v>5</v>
      </c>
    </row>
    <row r="269" spans="1:6" ht="10.5">
      <c r="A269" s="1" t="s">
        <v>636</v>
      </c>
      <c r="B269" s="1">
        <f>$B$265+2</f>
        <v>2</v>
      </c>
      <c r="C269" s="1" t="str">
        <f>CONCATENATE(ROUNDUP($B$266/2,0)+4,"P")</f>
        <v>7P</v>
      </c>
      <c r="D269" s="1">
        <v>-1</v>
      </c>
      <c r="E269" s="1" t="s">
        <v>637</v>
      </c>
      <c r="F269" s="1">
        <v>600</v>
      </c>
    </row>
    <row r="270" spans="1:6" ht="10.5">
      <c r="A270" s="1" t="s">
        <v>638</v>
      </c>
      <c r="B270" s="1">
        <f>$B$265</f>
        <v>0</v>
      </c>
      <c r="C270" s="1" t="str">
        <f>CONCATENATE(ROUNDUP($B$266/2,0)+2,"P")</f>
        <v>5P</v>
      </c>
      <c r="E270" s="1" t="s">
        <v>639</v>
      </c>
      <c r="F270" s="1">
        <v>150</v>
      </c>
    </row>
    <row r="271" spans="1:6" ht="10.5">
      <c r="A271" s="1" t="s">
        <v>640</v>
      </c>
      <c r="B271" s="1">
        <f>$B$265+1</f>
        <v>1</v>
      </c>
      <c r="C271" s="1" t="str">
        <f>CONCATENATE(ROUNDUP($B$266/2,0)+3,"P")</f>
        <v>6P</v>
      </c>
      <c r="D271" s="1">
        <v>-1</v>
      </c>
      <c r="E271" s="1" t="s">
        <v>641</v>
      </c>
      <c r="F271" s="1">
        <v>1000</v>
      </c>
    </row>
    <row r="272" spans="1:6" ht="10.5">
      <c r="A272" s="1" t="s">
        <v>153</v>
      </c>
      <c r="B272" s="1">
        <f>$B$265</f>
        <v>0</v>
      </c>
      <c r="C272" s="1" t="str">
        <f>CONCATENATE(ROUNDUP($B$266/2,0)+1,"P")</f>
        <v>4P</v>
      </c>
      <c r="F272" s="1">
        <v>20</v>
      </c>
    </row>
    <row r="273" spans="1:6" ht="10.5">
      <c r="A273" s="1" t="s">
        <v>642</v>
      </c>
      <c r="B273" s="1">
        <f>$B$265+1</f>
        <v>1</v>
      </c>
      <c r="C273" s="1" t="str">
        <f>CONCATENATE(ROUNDUP($B$266/2,0)+3,"P")</f>
        <v>6P</v>
      </c>
      <c r="D273" s="1">
        <v>-1</v>
      </c>
      <c r="E273" s="1" t="s">
        <v>637</v>
      </c>
      <c r="F273" s="1">
        <v>750</v>
      </c>
    </row>
    <row r="274" spans="1:6" ht="10.5">
      <c r="A274" s="1" t="s">
        <v>643</v>
      </c>
      <c r="B274" s="1">
        <f>$B$265</f>
        <v>0</v>
      </c>
      <c r="C274" s="1" t="str">
        <f>CONCATENATE(ROUNDUP($B$266/2,0)+1,"P")</f>
        <v>4P</v>
      </c>
      <c r="D274" s="1">
        <v>-1</v>
      </c>
      <c r="F274" s="1">
        <v>50</v>
      </c>
    </row>
    <row r="275" spans="1:6" ht="10.5">
      <c r="A275" s="1" t="s">
        <v>644</v>
      </c>
      <c r="B275" s="1">
        <f>$B$265+1</f>
        <v>1</v>
      </c>
      <c r="C275" s="1" t="str">
        <f>CONCATENATE(ROUNDUP($B$266/2,0)+3,"P")</f>
        <v>6P</v>
      </c>
      <c r="E275" s="1" t="s">
        <v>641</v>
      </c>
      <c r="F275" s="1">
        <v>350</v>
      </c>
    </row>
    <row r="276" spans="1:6" ht="10.5">
      <c r="A276" s="1" t="s">
        <v>645</v>
      </c>
      <c r="B276" s="1">
        <f>$B$265+1</f>
        <v>1</v>
      </c>
      <c r="C276" s="1" t="str">
        <f>CONCATENATE(ROUNDUP($B$266/2,0)+1,"P")</f>
        <v>4P</v>
      </c>
      <c r="F276" s="1">
        <v>30</v>
      </c>
    </row>
    <row r="277" spans="1:6" ht="10.5">
      <c r="A277" s="1" t="s">
        <v>646</v>
      </c>
      <c r="B277" s="1">
        <f>$B$265+1</f>
        <v>1</v>
      </c>
      <c r="C277" s="1" t="str">
        <f>CONCATENATE(ROUNDUP($B$266/2,0)+1,"P")</f>
        <v>4P</v>
      </c>
      <c r="F277" s="1">
        <v>50</v>
      </c>
    </row>
    <row r="278" spans="1:6" ht="10.5">
      <c r="A278" s="1" t="s">
        <v>647</v>
      </c>
      <c r="B278" s="1">
        <f>$B$265</f>
        <v>0</v>
      </c>
      <c r="C278" s="1" t="str">
        <f>CONCATENATE(ROUNDUP($B$266/2,0)+1,"S")</f>
        <v>4S</v>
      </c>
      <c r="F278" s="1">
        <v>30</v>
      </c>
    </row>
    <row r="279" spans="1:6" ht="10.5">
      <c r="A279" s="1" t="s">
        <v>648</v>
      </c>
      <c r="B279" s="1">
        <f>$B$265+2</f>
        <v>2</v>
      </c>
      <c r="C279" s="1" t="str">
        <f>CONCATENATE(ROUNDUP($B$266/2,0)+2,"P")</f>
        <v>5P</v>
      </c>
      <c r="F279" s="1">
        <v>50</v>
      </c>
    </row>
    <row r="280" spans="1:6" ht="10.5">
      <c r="A280" s="1" t="s">
        <v>649</v>
      </c>
      <c r="B280" s="1">
        <f>$B$265+1</f>
        <v>1</v>
      </c>
      <c r="C280" s="1" t="s">
        <v>650</v>
      </c>
      <c r="D280" s="1" t="s">
        <v>651</v>
      </c>
      <c r="E280" s="1" t="s">
        <v>641</v>
      </c>
      <c r="F280" s="1">
        <v>400</v>
      </c>
    </row>
    <row r="281" spans="1:6" ht="10.5">
      <c r="A281" s="1" t="s">
        <v>652</v>
      </c>
      <c r="B281" s="1">
        <f>$B$265+2</f>
        <v>2</v>
      </c>
      <c r="C281" s="1" t="str">
        <f>CONCATENATE(ROUNDUP($B$266/2,0)+2,"P")</f>
        <v>5P</v>
      </c>
      <c r="D281" s="1">
        <v>-2</v>
      </c>
      <c r="E281" s="1" t="s">
        <v>641</v>
      </c>
      <c r="F281" s="1">
        <v>1000</v>
      </c>
    </row>
    <row r="282" spans="1:6" ht="10.5">
      <c r="A282" s="1" t="s">
        <v>653</v>
      </c>
      <c r="B282" s="1">
        <f>$B$265+1</f>
        <v>1</v>
      </c>
      <c r="C282" s="1" t="s">
        <v>654</v>
      </c>
      <c r="D282" s="1">
        <v>-2</v>
      </c>
      <c r="E282" s="1">
        <v>4</v>
      </c>
      <c r="F282" s="1">
        <v>300</v>
      </c>
    </row>
    <row r="283" spans="1:6" ht="10.5">
      <c r="A283" s="1" t="s">
        <v>655</v>
      </c>
      <c r="B283" s="1">
        <f>$B$265+2</f>
        <v>2</v>
      </c>
      <c r="C283" s="1" t="s">
        <v>656</v>
      </c>
      <c r="D283" s="1">
        <v>-4</v>
      </c>
      <c r="E283" s="1" t="s">
        <v>657</v>
      </c>
      <c r="F283" s="1">
        <v>3000</v>
      </c>
    </row>
    <row r="284" spans="1:6" ht="10.5">
      <c r="A284" s="1" t="s">
        <v>658</v>
      </c>
      <c r="B284" s="1">
        <f>$B$265</f>
        <v>0</v>
      </c>
      <c r="C284" s="1" t="s">
        <v>659</v>
      </c>
      <c r="D284" s="1" t="s">
        <v>651</v>
      </c>
      <c r="E284" s="1" t="s">
        <v>660</v>
      </c>
      <c r="F284" s="1">
        <v>200</v>
      </c>
    </row>
    <row r="285" spans="1:4" ht="10.5">
      <c r="A285" s="1" t="s">
        <v>661</v>
      </c>
      <c r="C285" s="1" t="str">
        <f>CONCATENATE(ROUNDUP($B$266/2,0),"S")</f>
        <v>3S</v>
      </c>
      <c r="D285" s="1">
        <v>2</v>
      </c>
    </row>
    <row r="286" spans="1:4" ht="10.5">
      <c r="A286" s="1" t="s">
        <v>662</v>
      </c>
      <c r="C286" s="1" t="s">
        <v>650</v>
      </c>
      <c r="D286" s="1" t="e">
        <f>NA()</f>
        <v>#N/A</v>
      </c>
    </row>
    <row r="287" ht="10.5">
      <c r="A287" s="1" t="s">
        <v>663</v>
      </c>
    </row>
    <row r="288" spans="1:3" ht="10.5">
      <c r="A288" s="1" t="s">
        <v>664</v>
      </c>
      <c r="B288" s="1">
        <f>$B$265</f>
        <v>0</v>
      </c>
      <c r="C288" s="1" t="str">
        <f>CONCATENATE(ROUNDUP($B$266/2,0)+2,"P")</f>
        <v>5P</v>
      </c>
    </row>
    <row r="289" spans="1:3" ht="10.5">
      <c r="A289" s="1" t="s">
        <v>665</v>
      </c>
      <c r="B289" s="1">
        <f>$B$265</f>
        <v>0</v>
      </c>
      <c r="C289" s="1" t="str">
        <f>CONCATENATE(ROUNDUP($B$266/2,0)+1,"P")</f>
        <v>4P</v>
      </c>
    </row>
    <row r="290" spans="1:4" ht="10.5">
      <c r="A290" s="1" t="s">
        <v>666</v>
      </c>
      <c r="B290" s="1">
        <f>$B$265</f>
        <v>0</v>
      </c>
      <c r="C290" s="1" t="s">
        <v>650</v>
      </c>
      <c r="D290" s="1" t="s">
        <v>651</v>
      </c>
    </row>
    <row r="291" spans="1:3" ht="10.5">
      <c r="A291" s="1" t="s">
        <v>667</v>
      </c>
      <c r="B291" s="1">
        <f>$B$265+1</f>
        <v>1</v>
      </c>
      <c r="C291" s="1" t="str">
        <f>CONCATENATE(ROUNDUP($B$266/2,0)+3,"P")</f>
        <v>6P</v>
      </c>
    </row>
    <row r="293" ht="10.5">
      <c r="A293" s="4" t="s">
        <v>668</v>
      </c>
    </row>
    <row r="294" spans="1:13" ht="10.5">
      <c r="A294" s="1" t="s">
        <v>669</v>
      </c>
      <c r="B294" s="1" t="s">
        <v>157</v>
      </c>
      <c r="C294" s="1" t="s">
        <v>158</v>
      </c>
      <c r="D294" s="1" t="s">
        <v>151</v>
      </c>
      <c r="E294" s="1" t="s">
        <v>159</v>
      </c>
      <c r="F294" s="1" t="s">
        <v>161</v>
      </c>
      <c r="G294" s="1" t="s">
        <v>670</v>
      </c>
      <c r="H294" s="1" t="s">
        <v>671</v>
      </c>
      <c r="I294" s="1" t="s">
        <v>672</v>
      </c>
      <c r="J294" s="1" t="s">
        <v>673</v>
      </c>
      <c r="K294" s="1" t="s">
        <v>674</v>
      </c>
      <c r="L294" s="1" t="s">
        <v>675</v>
      </c>
      <c r="M294" s="1" t="s">
        <v>5</v>
      </c>
    </row>
    <row r="295" spans="1:13" ht="10.5">
      <c r="A295" s="1" t="s">
        <v>676</v>
      </c>
      <c r="B295" s="1" t="s">
        <v>677</v>
      </c>
      <c r="C295" s="1">
        <v>3</v>
      </c>
      <c r="E295" s="1" t="s">
        <v>678</v>
      </c>
      <c r="G295" s="1" t="s">
        <v>679</v>
      </c>
      <c r="H295" s="1" t="s">
        <v>680</v>
      </c>
      <c r="I295" s="1" t="s">
        <v>681</v>
      </c>
      <c r="J295" s="1" t="s">
        <v>682</v>
      </c>
      <c r="K295" s="1">
        <v>1</v>
      </c>
      <c r="L295" s="1">
        <v>2</v>
      </c>
      <c r="M295" s="1">
        <v>100</v>
      </c>
    </row>
    <row r="296" spans="1:13" ht="10.5">
      <c r="A296" s="1" t="s">
        <v>683</v>
      </c>
      <c r="B296" s="1" t="s">
        <v>677</v>
      </c>
      <c r="C296" s="1">
        <v>4</v>
      </c>
      <c r="E296" s="1" t="s">
        <v>678</v>
      </c>
      <c r="G296" s="1" t="s">
        <v>684</v>
      </c>
      <c r="H296" s="1" t="s">
        <v>685</v>
      </c>
      <c r="I296" s="1" t="s">
        <v>686</v>
      </c>
      <c r="J296" s="1" t="s">
        <v>687</v>
      </c>
      <c r="K296" s="1">
        <v>1</v>
      </c>
      <c r="L296" s="1">
        <v>2</v>
      </c>
      <c r="M296" s="1">
        <v>200</v>
      </c>
    </row>
    <row r="297" spans="1:13" ht="10.5">
      <c r="A297" s="1" t="s">
        <v>688</v>
      </c>
      <c r="B297" s="1" t="s">
        <v>677</v>
      </c>
      <c r="C297" s="1">
        <v>5</v>
      </c>
      <c r="E297" s="1" t="s">
        <v>678</v>
      </c>
      <c r="G297" s="1" t="s">
        <v>689</v>
      </c>
      <c r="H297" s="1" t="s">
        <v>690</v>
      </c>
      <c r="I297" s="1" t="s">
        <v>691</v>
      </c>
      <c r="J297" s="1" t="s">
        <v>692</v>
      </c>
      <c r="K297" s="1">
        <v>1</v>
      </c>
      <c r="L297" s="1">
        <v>2</v>
      </c>
      <c r="M297" s="1">
        <v>300</v>
      </c>
    </row>
    <row r="298" spans="1:13" ht="10.5">
      <c r="A298" s="1" t="s">
        <v>693</v>
      </c>
      <c r="B298" s="1" t="s">
        <v>677</v>
      </c>
      <c r="C298" s="1">
        <v>6</v>
      </c>
      <c r="E298" s="1" t="s">
        <v>678</v>
      </c>
      <c r="G298" s="1" t="s">
        <v>694</v>
      </c>
      <c r="H298" s="1" t="s">
        <v>695</v>
      </c>
      <c r="I298" s="1" t="s">
        <v>696</v>
      </c>
      <c r="J298" s="1" t="s">
        <v>697</v>
      </c>
      <c r="K298" s="1">
        <v>1</v>
      </c>
      <c r="L298" s="1">
        <v>2</v>
      </c>
      <c r="M298" s="1">
        <v>400</v>
      </c>
    </row>
    <row r="299" spans="1:13" ht="10.5">
      <c r="A299" s="1" t="s">
        <v>698</v>
      </c>
      <c r="B299" s="1" t="s">
        <v>677</v>
      </c>
      <c r="C299" s="1">
        <v>7</v>
      </c>
      <c r="E299" s="1" t="s">
        <v>678</v>
      </c>
      <c r="G299" s="1" t="s">
        <v>699</v>
      </c>
      <c r="H299" s="1" t="s">
        <v>700</v>
      </c>
      <c r="I299" s="1" t="s">
        <v>701</v>
      </c>
      <c r="J299" s="1" t="s">
        <v>702</v>
      </c>
      <c r="K299" s="1">
        <v>1</v>
      </c>
      <c r="L299" s="1">
        <v>2</v>
      </c>
      <c r="M299" s="1">
        <v>500</v>
      </c>
    </row>
    <row r="300" spans="1:13" ht="10.5">
      <c r="A300" s="1" t="s">
        <v>703</v>
      </c>
      <c r="B300" s="1" t="s">
        <v>677</v>
      </c>
      <c r="C300" s="1">
        <v>8</v>
      </c>
      <c r="E300" s="1" t="s">
        <v>678</v>
      </c>
      <c r="G300" s="1" t="s">
        <v>704</v>
      </c>
      <c r="H300" s="1" t="s">
        <v>705</v>
      </c>
      <c r="I300" s="1" t="s">
        <v>706</v>
      </c>
      <c r="J300" s="1" t="s">
        <v>707</v>
      </c>
      <c r="K300" s="1">
        <v>1</v>
      </c>
      <c r="L300" s="1">
        <v>2</v>
      </c>
      <c r="M300" s="1">
        <v>600</v>
      </c>
    </row>
    <row r="301" spans="1:13" ht="10.5">
      <c r="A301" s="1" t="s">
        <v>708</v>
      </c>
      <c r="B301" s="1" t="s">
        <v>677</v>
      </c>
      <c r="C301" s="1">
        <v>9</v>
      </c>
      <c r="E301" s="1" t="s">
        <v>678</v>
      </c>
      <c r="G301" s="1" t="s">
        <v>709</v>
      </c>
      <c r="H301" s="1" t="s">
        <v>710</v>
      </c>
      <c r="I301" s="1" t="s">
        <v>711</v>
      </c>
      <c r="J301" s="1" t="s">
        <v>712</v>
      </c>
      <c r="K301" s="1">
        <v>1</v>
      </c>
      <c r="L301" s="1">
        <v>2</v>
      </c>
      <c r="M301" s="1">
        <v>700</v>
      </c>
    </row>
    <row r="302" spans="1:13" ht="10.5">
      <c r="A302" s="1" t="s">
        <v>713</v>
      </c>
      <c r="B302" s="1" t="s">
        <v>677</v>
      </c>
      <c r="C302" s="1">
        <v>10</v>
      </c>
      <c r="E302" s="1" t="s">
        <v>678</v>
      </c>
      <c r="G302" s="1" t="s">
        <v>714</v>
      </c>
      <c r="H302" s="1" t="s">
        <v>715</v>
      </c>
      <c r="I302" s="1" t="s">
        <v>716</v>
      </c>
      <c r="J302" s="1" t="s">
        <v>717</v>
      </c>
      <c r="K302" s="1">
        <v>1</v>
      </c>
      <c r="L302" s="1">
        <v>2</v>
      </c>
      <c r="M302" s="1">
        <v>800</v>
      </c>
    </row>
    <row r="303" spans="1:13" ht="10.5">
      <c r="A303" s="1" t="s">
        <v>718</v>
      </c>
      <c r="B303" s="1" t="s">
        <v>677</v>
      </c>
      <c r="C303" s="1">
        <v>11</v>
      </c>
      <c r="E303" s="1" t="s">
        <v>678</v>
      </c>
      <c r="G303" s="1" t="s">
        <v>719</v>
      </c>
      <c r="H303" s="1" t="s">
        <v>720</v>
      </c>
      <c r="I303" s="1" t="s">
        <v>721</v>
      </c>
      <c r="J303" s="1" t="s">
        <v>722</v>
      </c>
      <c r="K303" s="1">
        <v>1</v>
      </c>
      <c r="L303" s="1">
        <v>2</v>
      </c>
      <c r="M303" s="1">
        <v>900</v>
      </c>
    </row>
    <row r="304" spans="1:13" ht="10.5">
      <c r="A304" s="1" t="s">
        <v>723</v>
      </c>
      <c r="B304" s="1" t="s">
        <v>677</v>
      </c>
      <c r="C304" s="1">
        <v>12</v>
      </c>
      <c r="E304" s="1" t="s">
        <v>678</v>
      </c>
      <c r="G304" s="1" t="s">
        <v>724</v>
      </c>
      <c r="H304" s="1" t="s">
        <v>725</v>
      </c>
      <c r="I304" s="1" t="s">
        <v>726</v>
      </c>
      <c r="J304" s="1" t="s">
        <v>727</v>
      </c>
      <c r="K304" s="1">
        <v>1</v>
      </c>
      <c r="L304" s="1">
        <v>2</v>
      </c>
      <c r="M304" s="1">
        <v>1000</v>
      </c>
    </row>
    <row r="305" spans="1:13" ht="10.5">
      <c r="A305" s="1" t="s">
        <v>728</v>
      </c>
      <c r="B305" s="1" t="s">
        <v>677</v>
      </c>
      <c r="C305" s="1">
        <v>3</v>
      </c>
      <c r="E305" s="1" t="s">
        <v>678</v>
      </c>
      <c r="K305" s="1" t="s">
        <v>729</v>
      </c>
      <c r="L305" s="1">
        <v>2</v>
      </c>
      <c r="M305" s="1">
        <v>300</v>
      </c>
    </row>
    <row r="306" spans="1:13" ht="10.5">
      <c r="A306" s="1" t="s">
        <v>730</v>
      </c>
      <c r="B306" s="1" t="s">
        <v>677</v>
      </c>
      <c r="C306" s="1">
        <v>5</v>
      </c>
      <c r="E306" s="1" t="s">
        <v>678</v>
      </c>
      <c r="K306" s="1" t="s">
        <v>729</v>
      </c>
      <c r="L306" s="1" t="s">
        <v>641</v>
      </c>
      <c r="M306" s="1">
        <v>500</v>
      </c>
    </row>
    <row r="307" spans="1:13" ht="10.5">
      <c r="A307" s="1" t="s">
        <v>731</v>
      </c>
      <c r="B307" s="1" t="s">
        <v>677</v>
      </c>
      <c r="C307" s="1">
        <v>7</v>
      </c>
      <c r="D307" s="1">
        <v>-1</v>
      </c>
      <c r="E307" s="1" t="s">
        <v>678</v>
      </c>
      <c r="K307" s="1" t="s">
        <v>729</v>
      </c>
      <c r="L307" s="1" t="s">
        <v>637</v>
      </c>
      <c r="M307" s="1">
        <v>750</v>
      </c>
    </row>
    <row r="308" ht="10.5">
      <c r="A308" s="1" t="s">
        <v>732</v>
      </c>
    </row>
    <row r="309" spans="1:13" ht="10.5">
      <c r="A309" s="1" t="s">
        <v>733</v>
      </c>
      <c r="B309" s="1" t="s">
        <v>734</v>
      </c>
      <c r="C309" s="1">
        <f>ROUNDUP($B$266/2,0)+1</f>
        <v>4</v>
      </c>
      <c r="G309" s="1" t="str">
        <f>CONCATENATE("0-",$B$266,"m")</f>
        <v>0-6m</v>
      </c>
      <c r="H309" s="1" t="str">
        <f>CONCATENATE($B$266+1,"-",$B$266*2,"m")</f>
        <v>7-12m</v>
      </c>
      <c r="I309" s="1" t="str">
        <f>CONCATENATE($B$266*2+1,"-",$B$266*3,"m")</f>
        <v>13-18m</v>
      </c>
      <c r="J309" s="1" t="str">
        <f>CONCATENATE($B$266*3+1,"-",$B$266*5,"m")</f>
        <v>19-30m</v>
      </c>
      <c r="K309" s="1">
        <v>1</v>
      </c>
      <c r="L309" s="1">
        <v>2</v>
      </c>
      <c r="M309" s="1">
        <v>200</v>
      </c>
    </row>
    <row r="310" spans="1:13" ht="10.5">
      <c r="A310" s="1" t="s">
        <v>735</v>
      </c>
      <c r="B310" s="1" t="s">
        <v>734</v>
      </c>
      <c r="C310" s="1">
        <f>ROUNDUP($B$266/2,0)</f>
        <v>3</v>
      </c>
      <c r="G310" s="1" t="str">
        <f>CONCATENATE("0-",$B$266,"m")</f>
        <v>0-6m</v>
      </c>
      <c r="H310" s="1" t="str">
        <f>CONCATENATE($B$266+1,"-",$B$266*2,"m")</f>
        <v>7-12m</v>
      </c>
      <c r="I310" s="1" t="str">
        <f>CONCATENATE($B$266*2+1,"-",$B$266*5,"m")</f>
        <v>13-30m</v>
      </c>
      <c r="J310" s="1" t="str">
        <f>CONCATENATE($B$266*5+1,"-",$B$266*7,"m")</f>
        <v>31-42m</v>
      </c>
      <c r="K310" s="1">
        <v>1</v>
      </c>
      <c r="L310" s="1">
        <v>2</v>
      </c>
      <c r="M310" s="1">
        <v>300</v>
      </c>
    </row>
    <row r="311" ht="10.5">
      <c r="A311" s="1" t="s">
        <v>736</v>
      </c>
    </row>
    <row r="312" spans="1:13" ht="10.5">
      <c r="A312" s="1" t="s">
        <v>737</v>
      </c>
      <c r="B312" s="1" t="s">
        <v>738</v>
      </c>
      <c r="C312" s="1">
        <v>8</v>
      </c>
      <c r="E312" s="1" t="s">
        <v>678</v>
      </c>
      <c r="G312" s="1">
        <f>""</f>
      </c>
      <c r="H312" s="1">
        <f>""</f>
      </c>
      <c r="I312" s="1">
        <f>""</f>
      </c>
      <c r="J312" s="1">
        <f>""</f>
      </c>
      <c r="K312" s="1" t="s">
        <v>729</v>
      </c>
      <c r="M312" s="1">
        <v>150</v>
      </c>
    </row>
    <row r="313" spans="1:13" ht="10.5">
      <c r="A313" s="1" t="s">
        <v>739</v>
      </c>
      <c r="B313" s="1" t="s">
        <v>738</v>
      </c>
      <c r="C313" s="1">
        <v>6</v>
      </c>
      <c r="E313" s="1" t="s">
        <v>740</v>
      </c>
      <c r="G313" s="1">
        <f>""</f>
      </c>
      <c r="H313" s="1">
        <f>""</f>
      </c>
      <c r="I313" s="1">
        <f>""</f>
      </c>
      <c r="J313" s="1">
        <f>""</f>
      </c>
      <c r="K313" s="1" t="s">
        <v>729</v>
      </c>
      <c r="M313" s="1">
        <v>150</v>
      </c>
    </row>
    <row r="314" ht="10.5">
      <c r="A314" s="1" t="s">
        <v>741</v>
      </c>
    </row>
    <row r="315" spans="1:13" ht="10.5">
      <c r="A315" s="1" t="s">
        <v>742</v>
      </c>
      <c r="B315" s="1" t="s">
        <v>743</v>
      </c>
      <c r="C315" s="1">
        <v>6</v>
      </c>
      <c r="D315" s="1">
        <v>2</v>
      </c>
      <c r="E315" s="1" t="s">
        <v>678</v>
      </c>
      <c r="G315" s="1" t="s">
        <v>699</v>
      </c>
      <c r="H315" s="1" t="s">
        <v>744</v>
      </c>
      <c r="I315" s="1" t="s">
        <v>745</v>
      </c>
      <c r="J315" s="1" t="s">
        <v>746</v>
      </c>
      <c r="K315" s="1" t="s">
        <v>747</v>
      </c>
      <c r="L315" s="1" t="s">
        <v>639</v>
      </c>
      <c r="M315" s="1">
        <v>350</v>
      </c>
    </row>
    <row r="316" spans="1:13" ht="10.5">
      <c r="A316" s="1" t="s">
        <v>748</v>
      </c>
      <c r="B316" s="1" t="s">
        <v>743</v>
      </c>
      <c r="C316" s="1">
        <v>4</v>
      </c>
      <c r="E316" s="1" t="s">
        <v>678</v>
      </c>
      <c r="G316" s="1" t="s">
        <v>699</v>
      </c>
      <c r="H316" s="1" t="s">
        <v>744</v>
      </c>
      <c r="I316" s="1" t="s">
        <v>745</v>
      </c>
      <c r="J316" s="1" t="s">
        <v>746</v>
      </c>
      <c r="K316" s="1" t="s">
        <v>749</v>
      </c>
      <c r="L316" s="1" t="s">
        <v>641</v>
      </c>
      <c r="M316" s="1">
        <v>100</v>
      </c>
    </row>
    <row r="317" ht="10.5">
      <c r="A317" s="1" t="s">
        <v>750</v>
      </c>
    </row>
    <row r="318" spans="1:13" ht="10.5">
      <c r="A318" s="1" t="s">
        <v>751</v>
      </c>
      <c r="B318" s="1" t="s">
        <v>752</v>
      </c>
      <c r="C318" s="1">
        <v>4</v>
      </c>
      <c r="E318" s="1" t="s">
        <v>740</v>
      </c>
      <c r="G318" s="1" t="s">
        <v>699</v>
      </c>
      <c r="H318" s="1" t="s">
        <v>744</v>
      </c>
      <c r="I318" s="1" t="s">
        <v>745</v>
      </c>
      <c r="J318" s="1" t="s">
        <v>746</v>
      </c>
      <c r="K318" s="1" t="s">
        <v>753</v>
      </c>
      <c r="L318" s="1" t="s">
        <v>641</v>
      </c>
      <c r="M318" s="1">
        <v>150</v>
      </c>
    </row>
    <row r="319" spans="1:13" ht="10.5">
      <c r="A319" s="1" t="s">
        <v>754</v>
      </c>
      <c r="B319" s="1" t="s">
        <v>752</v>
      </c>
      <c r="C319" s="1">
        <v>4</v>
      </c>
      <c r="E319" s="1" t="s">
        <v>740</v>
      </c>
      <c r="F319" s="1" t="s">
        <v>755</v>
      </c>
      <c r="G319" s="1" t="s">
        <v>699</v>
      </c>
      <c r="H319" s="1" t="s">
        <v>744</v>
      </c>
      <c r="I319" s="1" t="s">
        <v>745</v>
      </c>
      <c r="J319" s="1" t="s">
        <v>746</v>
      </c>
      <c r="K319" s="1" t="s">
        <v>756</v>
      </c>
      <c r="L319" s="1" t="s">
        <v>639</v>
      </c>
      <c r="M319" s="1">
        <v>450</v>
      </c>
    </row>
    <row r="320" spans="1:13" ht="10.5">
      <c r="A320" s="1" t="s">
        <v>757</v>
      </c>
      <c r="B320" s="1" t="s">
        <v>752</v>
      </c>
      <c r="C320" s="1">
        <v>4</v>
      </c>
      <c r="E320" s="1" t="s">
        <v>740</v>
      </c>
      <c r="F320" s="1">
        <v>1</v>
      </c>
      <c r="G320" s="1" t="s">
        <v>699</v>
      </c>
      <c r="H320" s="1" t="s">
        <v>758</v>
      </c>
      <c r="I320" s="1" t="s">
        <v>759</v>
      </c>
      <c r="J320" s="1" t="s">
        <v>760</v>
      </c>
      <c r="K320" s="1" t="s">
        <v>749</v>
      </c>
      <c r="L320" s="1" t="s">
        <v>637</v>
      </c>
      <c r="M320" s="1">
        <v>650</v>
      </c>
    </row>
    <row r="321" spans="1:13" ht="10.5">
      <c r="A321" s="1" t="s">
        <v>761</v>
      </c>
      <c r="B321" s="1" t="s">
        <v>752</v>
      </c>
      <c r="C321" s="1">
        <v>4</v>
      </c>
      <c r="E321" s="1" t="s">
        <v>762</v>
      </c>
      <c r="F321" s="1" t="s">
        <v>755</v>
      </c>
      <c r="G321" s="1" t="s">
        <v>699</v>
      </c>
      <c r="H321" s="1" t="s">
        <v>744</v>
      </c>
      <c r="I321" s="1" t="s">
        <v>745</v>
      </c>
      <c r="J321" s="1" t="s">
        <v>746</v>
      </c>
      <c r="K321" s="1" t="s">
        <v>763</v>
      </c>
      <c r="L321" s="1" t="s">
        <v>764</v>
      </c>
      <c r="M321" s="1">
        <v>2000</v>
      </c>
    </row>
    <row r="322" ht="10.5">
      <c r="A322" s="1" t="s">
        <v>765</v>
      </c>
    </row>
    <row r="323" spans="1:13" ht="10.5">
      <c r="A323" s="1" t="s">
        <v>166</v>
      </c>
      <c r="B323" s="1" t="s">
        <v>766</v>
      </c>
      <c r="C323" s="1">
        <v>5</v>
      </c>
      <c r="D323" s="1">
        <v>-1</v>
      </c>
      <c r="E323" s="1" t="s">
        <v>740</v>
      </c>
      <c r="G323" s="1" t="s">
        <v>699</v>
      </c>
      <c r="H323" s="1" t="s">
        <v>758</v>
      </c>
      <c r="I323" s="1" t="s">
        <v>759</v>
      </c>
      <c r="J323" s="1" t="s">
        <v>760</v>
      </c>
      <c r="K323" s="1" t="s">
        <v>767</v>
      </c>
      <c r="L323" s="1" t="s">
        <v>641</v>
      </c>
      <c r="M323" s="1">
        <v>350</v>
      </c>
    </row>
    <row r="324" spans="1:13" ht="10.5">
      <c r="A324" s="1" t="s">
        <v>768</v>
      </c>
      <c r="B324" s="1" t="s">
        <v>766</v>
      </c>
      <c r="C324" s="1" t="s">
        <v>769</v>
      </c>
      <c r="D324" s="1">
        <v>2</v>
      </c>
      <c r="E324" s="1" t="s">
        <v>762</v>
      </c>
      <c r="G324" s="1" t="s">
        <v>699</v>
      </c>
      <c r="H324" s="1" t="s">
        <v>758</v>
      </c>
      <c r="I324" s="1" t="s">
        <v>759</v>
      </c>
      <c r="J324" s="1" t="s">
        <v>760</v>
      </c>
      <c r="K324" s="1" t="s">
        <v>756</v>
      </c>
      <c r="L324" s="1" t="s">
        <v>770</v>
      </c>
      <c r="M324" s="1">
        <v>500</v>
      </c>
    </row>
    <row r="325" spans="1:13" ht="10.5">
      <c r="A325" s="1" t="s">
        <v>771</v>
      </c>
      <c r="B325" s="1" t="s">
        <v>766</v>
      </c>
      <c r="C325" s="1">
        <v>5</v>
      </c>
      <c r="D325" s="1">
        <v>-1</v>
      </c>
      <c r="E325" s="1" t="s">
        <v>740</v>
      </c>
      <c r="G325" s="1" t="s">
        <v>699</v>
      </c>
      <c r="H325" s="1" t="s">
        <v>758</v>
      </c>
      <c r="I325" s="1" t="s">
        <v>759</v>
      </c>
      <c r="J325" s="1" t="s">
        <v>760</v>
      </c>
      <c r="K325" s="1" t="s">
        <v>772</v>
      </c>
      <c r="L325" s="1" t="s">
        <v>641</v>
      </c>
      <c r="M325" s="1">
        <v>300</v>
      </c>
    </row>
    <row r="326" spans="1:13" ht="10.5">
      <c r="A326" s="1" t="s">
        <v>773</v>
      </c>
      <c r="B326" s="1" t="s">
        <v>766</v>
      </c>
      <c r="C326" s="1">
        <v>5</v>
      </c>
      <c r="D326" s="1">
        <v>-1</v>
      </c>
      <c r="E326" s="1" t="s">
        <v>740</v>
      </c>
      <c r="G326" s="1" t="s">
        <v>699</v>
      </c>
      <c r="H326" s="1" t="s">
        <v>758</v>
      </c>
      <c r="I326" s="1" t="s">
        <v>759</v>
      </c>
      <c r="J326" s="1" t="s">
        <v>760</v>
      </c>
      <c r="K326" s="1" t="s">
        <v>774</v>
      </c>
      <c r="L326" s="1" t="s">
        <v>639</v>
      </c>
      <c r="M326" s="1">
        <v>250</v>
      </c>
    </row>
    <row r="327" spans="1:11" ht="12">
      <c r="A327" s="96" t="s">
        <v>775</v>
      </c>
      <c r="B327" s="1">
        <f>""</f>
      </c>
      <c r="C327" s="1">
        <v>7</v>
      </c>
      <c r="D327" s="1">
        <v>2</v>
      </c>
      <c r="E327" s="1">
        <f>""</f>
      </c>
      <c r="G327" s="1">
        <f>""</f>
      </c>
      <c r="H327" s="1">
        <f>""</f>
      </c>
      <c r="I327" s="1">
        <f>""</f>
      </c>
      <c r="J327" s="1">
        <f>""</f>
      </c>
      <c r="K327" s="1">
        <f>""</f>
      </c>
    </row>
    <row r="328" spans="1:13" ht="10.5">
      <c r="A328" s="1" t="s">
        <v>776</v>
      </c>
      <c r="B328" s="1" t="s">
        <v>766</v>
      </c>
      <c r="C328" s="1">
        <v>6</v>
      </c>
      <c r="D328" s="1">
        <v>-2</v>
      </c>
      <c r="E328" s="1" t="s">
        <v>678</v>
      </c>
      <c r="G328" s="1" t="s">
        <v>699</v>
      </c>
      <c r="H328" s="1" t="s">
        <v>758</v>
      </c>
      <c r="I328" s="1" t="s">
        <v>759</v>
      </c>
      <c r="J328" s="1" t="s">
        <v>760</v>
      </c>
      <c r="K328" s="1" t="s">
        <v>777</v>
      </c>
      <c r="L328" s="1" t="s">
        <v>660</v>
      </c>
      <c r="M328" s="1">
        <v>250</v>
      </c>
    </row>
    <row r="329" ht="10.5">
      <c r="A329" s="1" t="s">
        <v>778</v>
      </c>
    </row>
    <row r="330" spans="1:13" ht="10.5">
      <c r="A330" s="1" t="s">
        <v>779</v>
      </c>
      <c r="B330" s="1" t="s">
        <v>780</v>
      </c>
      <c r="C330" s="1">
        <v>4</v>
      </c>
      <c r="E330" s="1" t="s">
        <v>762</v>
      </c>
      <c r="G330" s="1" t="s">
        <v>699</v>
      </c>
      <c r="H330" s="1" t="s">
        <v>744</v>
      </c>
      <c r="I330" s="1" t="s">
        <v>745</v>
      </c>
      <c r="J330" s="1" t="s">
        <v>746</v>
      </c>
      <c r="K330" s="1" t="s">
        <v>781</v>
      </c>
      <c r="L330" s="1" t="s">
        <v>637</v>
      </c>
      <c r="M330" s="1">
        <v>550</v>
      </c>
    </row>
    <row r="331" spans="1:13" ht="10.5">
      <c r="A331" s="1" t="s">
        <v>782</v>
      </c>
      <c r="B331" s="1" t="s">
        <v>780</v>
      </c>
      <c r="C331" s="1">
        <v>4</v>
      </c>
      <c r="E331" s="1" t="s">
        <v>783</v>
      </c>
      <c r="F331" s="1" t="s">
        <v>755</v>
      </c>
      <c r="G331" s="1" t="s">
        <v>699</v>
      </c>
      <c r="H331" s="1" t="s">
        <v>744</v>
      </c>
      <c r="I331" s="1" t="s">
        <v>745</v>
      </c>
      <c r="J331" s="1" t="s">
        <v>746</v>
      </c>
      <c r="K331" s="1" t="s">
        <v>756</v>
      </c>
      <c r="L331" s="1" t="s">
        <v>637</v>
      </c>
      <c r="M331" s="1">
        <v>600</v>
      </c>
    </row>
    <row r="332" ht="10.5">
      <c r="A332" s="1" t="s">
        <v>784</v>
      </c>
    </row>
    <row r="333" spans="1:13" ht="10.5">
      <c r="A333" s="1" t="s">
        <v>785</v>
      </c>
      <c r="B333" s="1" t="s">
        <v>786</v>
      </c>
      <c r="C333" s="1">
        <v>5</v>
      </c>
      <c r="E333" s="1" t="s">
        <v>783</v>
      </c>
      <c r="F333" s="1" t="s">
        <v>755</v>
      </c>
      <c r="G333" s="1" t="s">
        <v>724</v>
      </c>
      <c r="H333" s="1" t="s">
        <v>787</v>
      </c>
      <c r="I333" s="1" t="s">
        <v>788</v>
      </c>
      <c r="J333" s="1" t="s">
        <v>789</v>
      </c>
      <c r="K333" s="1" t="s">
        <v>756</v>
      </c>
      <c r="L333" s="1" t="s">
        <v>641</v>
      </c>
      <c r="M333" s="1">
        <v>400</v>
      </c>
    </row>
    <row r="334" spans="1:13" ht="10.5">
      <c r="A334" s="1" t="s">
        <v>790</v>
      </c>
      <c r="B334" s="1" t="s">
        <v>786</v>
      </c>
      <c r="C334" s="1">
        <v>5</v>
      </c>
      <c r="E334" s="1" t="s">
        <v>783</v>
      </c>
      <c r="F334" s="1" t="s">
        <v>791</v>
      </c>
      <c r="G334" s="1" t="s">
        <v>724</v>
      </c>
      <c r="H334" s="1" t="s">
        <v>787</v>
      </c>
      <c r="I334" s="1" t="s">
        <v>788</v>
      </c>
      <c r="J334" s="1" t="s">
        <v>789</v>
      </c>
      <c r="K334" s="1" t="s">
        <v>792</v>
      </c>
      <c r="L334" s="1" t="s">
        <v>637</v>
      </c>
      <c r="M334" s="1">
        <v>800</v>
      </c>
    </row>
    <row r="335" spans="1:13" ht="10.5">
      <c r="A335" s="1" t="s">
        <v>793</v>
      </c>
      <c r="B335" s="1" t="s">
        <v>786</v>
      </c>
      <c r="C335" s="1">
        <v>5</v>
      </c>
      <c r="E335" s="1" t="s">
        <v>783</v>
      </c>
      <c r="F335" s="1" t="s">
        <v>791</v>
      </c>
      <c r="G335" s="1" t="s">
        <v>724</v>
      </c>
      <c r="H335" s="1" t="s">
        <v>787</v>
      </c>
      <c r="I335" s="1" t="s">
        <v>788</v>
      </c>
      <c r="J335" s="1" t="s">
        <v>789</v>
      </c>
      <c r="K335" s="1" t="s">
        <v>794</v>
      </c>
      <c r="L335" s="1" t="s">
        <v>641</v>
      </c>
      <c r="M335" s="1">
        <v>550</v>
      </c>
    </row>
    <row r="336" spans="1:13" ht="10.5">
      <c r="A336" s="1" t="s">
        <v>795</v>
      </c>
      <c r="B336" s="1" t="s">
        <v>786</v>
      </c>
      <c r="C336" s="1">
        <v>5</v>
      </c>
      <c r="E336" s="1" t="s">
        <v>796</v>
      </c>
      <c r="F336" s="1" t="s">
        <v>755</v>
      </c>
      <c r="G336" s="1" t="s">
        <v>724</v>
      </c>
      <c r="H336" s="1" t="s">
        <v>787</v>
      </c>
      <c r="I336" s="1" t="s">
        <v>788</v>
      </c>
      <c r="J336" s="1" t="s">
        <v>789</v>
      </c>
      <c r="K336" s="1" t="s">
        <v>797</v>
      </c>
      <c r="L336" s="1" t="s">
        <v>639</v>
      </c>
      <c r="M336" s="1">
        <v>650</v>
      </c>
    </row>
    <row r="337" spans="1:13" ht="10.5">
      <c r="A337" s="1" t="s">
        <v>798</v>
      </c>
      <c r="B337" s="1" t="s">
        <v>786</v>
      </c>
      <c r="C337" s="1">
        <v>5</v>
      </c>
      <c r="E337" s="1" t="s">
        <v>799</v>
      </c>
      <c r="F337" s="1" t="s">
        <v>755</v>
      </c>
      <c r="G337" s="1" t="s">
        <v>724</v>
      </c>
      <c r="H337" s="1" t="s">
        <v>787</v>
      </c>
      <c r="I337" s="1" t="s">
        <v>788</v>
      </c>
      <c r="J337" s="1" t="s">
        <v>789</v>
      </c>
      <c r="K337" s="1" t="s">
        <v>800</v>
      </c>
      <c r="L337" s="1" t="s">
        <v>641</v>
      </c>
      <c r="M337" s="1">
        <v>500</v>
      </c>
    </row>
    <row r="338" ht="10.5">
      <c r="A338" s="1" t="s">
        <v>801</v>
      </c>
    </row>
    <row r="339" spans="1:13" ht="10.5">
      <c r="A339" s="1" t="s">
        <v>802</v>
      </c>
      <c r="B339" s="1" t="s">
        <v>803</v>
      </c>
      <c r="C339" s="1">
        <v>6</v>
      </c>
      <c r="D339" s="1">
        <v>-1</v>
      </c>
      <c r="E339" s="1" t="s">
        <v>783</v>
      </c>
      <c r="G339" s="1" t="s">
        <v>804</v>
      </c>
      <c r="H339" s="1" t="s">
        <v>701</v>
      </c>
      <c r="I339" s="1" t="s">
        <v>805</v>
      </c>
      <c r="J339" s="1" t="s">
        <v>806</v>
      </c>
      <c r="K339" s="1" t="s">
        <v>807</v>
      </c>
      <c r="L339" s="1" t="s">
        <v>641</v>
      </c>
      <c r="M339" s="1">
        <v>500</v>
      </c>
    </row>
    <row r="340" spans="1:13" ht="10.5">
      <c r="A340" s="1" t="s">
        <v>808</v>
      </c>
      <c r="B340" s="1" t="s">
        <v>803</v>
      </c>
      <c r="C340" s="1">
        <v>6</v>
      </c>
      <c r="D340" s="1">
        <v>-1</v>
      </c>
      <c r="E340" s="1" t="s">
        <v>783</v>
      </c>
      <c r="F340" s="1">
        <v>2</v>
      </c>
      <c r="G340" s="1" t="s">
        <v>804</v>
      </c>
      <c r="H340" s="1" t="s">
        <v>701</v>
      </c>
      <c r="I340" s="1" t="s">
        <v>805</v>
      </c>
      <c r="J340" s="1" t="s">
        <v>806</v>
      </c>
      <c r="K340" s="1" t="s">
        <v>809</v>
      </c>
      <c r="L340" s="1" t="s">
        <v>657</v>
      </c>
      <c r="M340" s="1">
        <v>1700</v>
      </c>
    </row>
    <row r="341" spans="1:11" ht="10.5">
      <c r="A341" s="1" t="s">
        <v>810</v>
      </c>
      <c r="B341" s="1" t="s">
        <v>811</v>
      </c>
      <c r="E341" s="1" t="s">
        <v>678</v>
      </c>
      <c r="G341" s="1" t="s">
        <v>812</v>
      </c>
      <c r="H341" s="1" t="s">
        <v>813</v>
      </c>
      <c r="I341" s="1" t="s">
        <v>814</v>
      </c>
      <c r="J341" s="1" t="s">
        <v>815</v>
      </c>
      <c r="K341" s="1" t="s">
        <v>749</v>
      </c>
    </row>
    <row r="342" spans="1:13" ht="10.5">
      <c r="A342" s="1" t="s">
        <v>816</v>
      </c>
      <c r="B342" s="1" t="s">
        <v>803</v>
      </c>
      <c r="C342" s="1">
        <v>6</v>
      </c>
      <c r="D342" s="1">
        <v>-1</v>
      </c>
      <c r="E342" s="1" t="s">
        <v>783</v>
      </c>
      <c r="F342" s="1">
        <v>2</v>
      </c>
      <c r="G342" s="1" t="s">
        <v>804</v>
      </c>
      <c r="H342" s="1" t="s">
        <v>701</v>
      </c>
      <c r="I342" s="1" t="s">
        <v>805</v>
      </c>
      <c r="J342" s="1" t="s">
        <v>806</v>
      </c>
      <c r="K342" s="1" t="s">
        <v>781</v>
      </c>
      <c r="L342" s="1" t="s">
        <v>637</v>
      </c>
      <c r="M342" s="1">
        <v>1000</v>
      </c>
    </row>
    <row r="343" spans="1:13" ht="10.5">
      <c r="A343" s="1" t="s">
        <v>817</v>
      </c>
      <c r="B343" s="1" t="s">
        <v>803</v>
      </c>
      <c r="C343" s="1">
        <v>6</v>
      </c>
      <c r="D343" s="1">
        <v>-1</v>
      </c>
      <c r="E343" s="1" t="s">
        <v>783</v>
      </c>
      <c r="F343" s="1" t="s">
        <v>755</v>
      </c>
      <c r="G343" s="1" t="s">
        <v>804</v>
      </c>
      <c r="H343" s="1" t="s">
        <v>701</v>
      </c>
      <c r="I343" s="1" t="s">
        <v>805</v>
      </c>
      <c r="J343" s="1" t="s">
        <v>806</v>
      </c>
      <c r="K343" s="1" t="s">
        <v>756</v>
      </c>
      <c r="L343" s="1" t="s">
        <v>818</v>
      </c>
      <c r="M343" s="1">
        <v>2500</v>
      </c>
    </row>
    <row r="344" spans="1:11" ht="10.5">
      <c r="A344" s="1" t="s">
        <v>810</v>
      </c>
      <c r="B344" s="1" t="s">
        <v>811</v>
      </c>
      <c r="E344" s="1" t="s">
        <v>678</v>
      </c>
      <c r="G344" s="1" t="s">
        <v>812</v>
      </c>
      <c r="H344" s="1" t="s">
        <v>813</v>
      </c>
      <c r="I344" s="1" t="s">
        <v>814</v>
      </c>
      <c r="J344" s="1" t="s">
        <v>815</v>
      </c>
      <c r="K344" s="1" t="s">
        <v>819</v>
      </c>
    </row>
    <row r="345" spans="1:13" ht="10.5">
      <c r="A345" s="1" t="s">
        <v>820</v>
      </c>
      <c r="B345" s="1" t="s">
        <v>821</v>
      </c>
      <c r="C345" s="1">
        <v>7</v>
      </c>
      <c r="D345" s="1">
        <v>1</v>
      </c>
      <c r="E345" s="1" t="s">
        <v>740</v>
      </c>
      <c r="F345" s="1" t="s">
        <v>755</v>
      </c>
      <c r="G345" s="1" t="s">
        <v>724</v>
      </c>
      <c r="H345" s="1" t="s">
        <v>787</v>
      </c>
      <c r="I345" s="1" t="s">
        <v>788</v>
      </c>
      <c r="J345" s="1" t="s">
        <v>789</v>
      </c>
      <c r="K345" s="1" t="s">
        <v>822</v>
      </c>
      <c r="M345" s="1">
        <v>1000</v>
      </c>
    </row>
    <row r="346" spans="1:13" ht="10.5">
      <c r="A346" s="1" t="s">
        <v>823</v>
      </c>
      <c r="B346" s="1" t="s">
        <v>824</v>
      </c>
      <c r="C346" s="1">
        <v>5</v>
      </c>
      <c r="E346" s="1" t="s">
        <v>783</v>
      </c>
      <c r="F346" s="1" t="s">
        <v>755</v>
      </c>
      <c r="G346" s="1" t="s">
        <v>724</v>
      </c>
      <c r="H346" s="1" t="s">
        <v>787</v>
      </c>
      <c r="I346" s="1" t="s">
        <v>788</v>
      </c>
      <c r="J346" s="1" t="s">
        <v>789</v>
      </c>
      <c r="K346" s="1" t="s">
        <v>756</v>
      </c>
      <c r="M346" s="1">
        <v>500</v>
      </c>
    </row>
    <row r="347" spans="1:13" ht="10.5">
      <c r="A347" s="1" t="s">
        <v>825</v>
      </c>
      <c r="B347" s="1" t="s">
        <v>826</v>
      </c>
      <c r="C347" s="1">
        <v>7</v>
      </c>
      <c r="D347" s="1">
        <v>-2</v>
      </c>
      <c r="E347" s="1" t="s">
        <v>740</v>
      </c>
      <c r="F347" s="1" t="s">
        <v>755</v>
      </c>
      <c r="G347" s="1" t="s">
        <v>827</v>
      </c>
      <c r="H347" s="1" t="s">
        <v>805</v>
      </c>
      <c r="I347" s="1" t="s">
        <v>828</v>
      </c>
      <c r="J347" s="1" t="s">
        <v>829</v>
      </c>
      <c r="K347" s="1" t="s">
        <v>822</v>
      </c>
      <c r="M347" s="1">
        <v>1000</v>
      </c>
    </row>
    <row r="348" spans="1:13" ht="10.5">
      <c r="A348" s="1" t="s">
        <v>830</v>
      </c>
      <c r="B348" s="1" t="s">
        <v>831</v>
      </c>
      <c r="C348" s="1">
        <v>6</v>
      </c>
      <c r="D348" s="1">
        <v>-1</v>
      </c>
      <c r="E348" s="1" t="s">
        <v>796</v>
      </c>
      <c r="F348" s="1" t="s">
        <v>791</v>
      </c>
      <c r="G348" s="1" t="s">
        <v>832</v>
      </c>
      <c r="H348" s="1" t="s">
        <v>833</v>
      </c>
      <c r="I348" s="1" t="s">
        <v>834</v>
      </c>
      <c r="J348" s="1" t="s">
        <v>835</v>
      </c>
      <c r="K348" s="1" t="s">
        <v>836</v>
      </c>
      <c r="M348" s="1">
        <v>1000</v>
      </c>
    </row>
    <row r="349" ht="10.5">
      <c r="A349" s="1" t="s">
        <v>837</v>
      </c>
    </row>
    <row r="350" spans="1:13" ht="10.5">
      <c r="A350" s="1" t="s">
        <v>838</v>
      </c>
      <c r="B350" s="1" t="s">
        <v>839</v>
      </c>
      <c r="C350" s="1">
        <v>7</v>
      </c>
      <c r="D350" s="1">
        <v>-1</v>
      </c>
      <c r="E350" s="1" t="s">
        <v>740</v>
      </c>
      <c r="F350" s="1" t="s">
        <v>755</v>
      </c>
      <c r="G350" s="1" t="s">
        <v>840</v>
      </c>
      <c r="H350" s="1" t="s">
        <v>841</v>
      </c>
      <c r="I350" s="1" t="s">
        <v>842</v>
      </c>
      <c r="J350" s="1" t="s">
        <v>843</v>
      </c>
      <c r="K350" s="1" t="s">
        <v>844</v>
      </c>
      <c r="L350" s="1" t="s">
        <v>641</v>
      </c>
      <c r="M350" s="1">
        <v>900</v>
      </c>
    </row>
    <row r="351" spans="1:13" ht="10.5">
      <c r="A351" s="1" t="s">
        <v>845</v>
      </c>
      <c r="B351" s="1" t="s">
        <v>839</v>
      </c>
      <c r="C351" s="1">
        <v>9</v>
      </c>
      <c r="D351" s="1">
        <v>-1</v>
      </c>
      <c r="E351" s="1" t="s">
        <v>678</v>
      </c>
      <c r="F351" s="1" t="s">
        <v>755</v>
      </c>
      <c r="G351" s="1" t="s">
        <v>840</v>
      </c>
      <c r="H351" s="1" t="s">
        <v>841</v>
      </c>
      <c r="I351" s="1" t="s">
        <v>842</v>
      </c>
      <c r="J351" s="1" t="s">
        <v>843</v>
      </c>
      <c r="K351" s="1" t="s">
        <v>846</v>
      </c>
      <c r="L351" s="1" t="s">
        <v>847</v>
      </c>
      <c r="M351" s="1">
        <v>6000</v>
      </c>
    </row>
    <row r="352" ht="10.5">
      <c r="A352" s="1" t="s">
        <v>848</v>
      </c>
    </row>
    <row r="353" spans="1:13" ht="10.5">
      <c r="A353" s="1" t="s">
        <v>849</v>
      </c>
      <c r="B353" s="1" t="s">
        <v>826</v>
      </c>
      <c r="C353" s="1">
        <v>8</v>
      </c>
      <c r="D353" s="1">
        <v>-3</v>
      </c>
      <c r="E353" s="1" t="s">
        <v>740</v>
      </c>
      <c r="F353" s="1" t="s">
        <v>755</v>
      </c>
      <c r="G353" s="1" t="s">
        <v>827</v>
      </c>
      <c r="H353" s="1" t="s">
        <v>805</v>
      </c>
      <c r="I353" s="1" t="s">
        <v>828</v>
      </c>
      <c r="J353" s="1" t="s">
        <v>829</v>
      </c>
      <c r="K353" s="1" t="s">
        <v>767</v>
      </c>
      <c r="L353" s="1" t="s">
        <v>850</v>
      </c>
      <c r="M353" s="1">
        <v>6200</v>
      </c>
    </row>
    <row r="354" spans="1:13" ht="10.5">
      <c r="A354" s="1" t="s">
        <v>851</v>
      </c>
      <c r="B354" s="1" t="s">
        <v>826</v>
      </c>
      <c r="C354" s="1">
        <v>7</v>
      </c>
      <c r="D354" s="1">
        <v>-3</v>
      </c>
      <c r="E354" s="1" t="s">
        <v>740</v>
      </c>
      <c r="F354" s="1" t="s">
        <v>755</v>
      </c>
      <c r="G354" s="1" t="s">
        <v>827</v>
      </c>
      <c r="H354" s="1" t="s">
        <v>805</v>
      </c>
      <c r="I354" s="1" t="s">
        <v>828</v>
      </c>
      <c r="J354" s="1" t="s">
        <v>829</v>
      </c>
      <c r="K354" s="1" t="s">
        <v>852</v>
      </c>
      <c r="L354" s="1" t="s">
        <v>853</v>
      </c>
      <c r="M354" s="1">
        <v>5000</v>
      </c>
    </row>
    <row r="355" ht="10.5">
      <c r="A355" s="1" t="s">
        <v>854</v>
      </c>
    </row>
    <row r="356" spans="1:13" ht="10.5">
      <c r="A356" s="1" t="s">
        <v>855</v>
      </c>
      <c r="B356" s="1" t="s">
        <v>821</v>
      </c>
      <c r="C356" s="1">
        <v>9</v>
      </c>
      <c r="D356" s="1">
        <v>2</v>
      </c>
      <c r="E356" s="1" t="s">
        <v>783</v>
      </c>
      <c r="G356" s="1" t="s">
        <v>724</v>
      </c>
      <c r="H356" s="1" t="s">
        <v>856</v>
      </c>
      <c r="I356" s="1" t="s">
        <v>857</v>
      </c>
      <c r="J356" s="1" t="s">
        <v>760</v>
      </c>
      <c r="K356" s="1" t="s">
        <v>822</v>
      </c>
      <c r="L356" s="1" t="s">
        <v>847</v>
      </c>
      <c r="M356" s="1">
        <v>1000</v>
      </c>
    </row>
    <row r="357" spans="1:13" ht="10.5">
      <c r="A357" s="1" t="s">
        <v>858</v>
      </c>
      <c r="B357" s="1" t="s">
        <v>821</v>
      </c>
      <c r="C357" s="1">
        <v>7</v>
      </c>
      <c r="D357" s="1">
        <v>-1</v>
      </c>
      <c r="E357" s="1" t="s">
        <v>740</v>
      </c>
      <c r="F357" s="1" t="s">
        <v>755</v>
      </c>
      <c r="G357" s="1" t="s">
        <v>724</v>
      </c>
      <c r="H357" s="1" t="s">
        <v>787</v>
      </c>
      <c r="I357" s="1" t="s">
        <v>788</v>
      </c>
      <c r="J357" s="1" t="s">
        <v>789</v>
      </c>
      <c r="K357" s="1" t="s">
        <v>774</v>
      </c>
      <c r="L357" s="1" t="s">
        <v>641</v>
      </c>
      <c r="M357" s="1">
        <v>550</v>
      </c>
    </row>
    <row r="358" spans="1:10" ht="12">
      <c r="A358" s="96" t="s">
        <v>775</v>
      </c>
      <c r="C358" s="1">
        <v>9</v>
      </c>
      <c r="D358" s="1">
        <v>2</v>
      </c>
      <c r="G358" s="1" t="s">
        <v>724</v>
      </c>
      <c r="H358" s="1" t="s">
        <v>856</v>
      </c>
      <c r="I358" s="1" t="s">
        <v>857</v>
      </c>
      <c r="J358" s="1" t="s">
        <v>760</v>
      </c>
    </row>
    <row r="359" ht="10.5">
      <c r="A359" s="1" t="s">
        <v>859</v>
      </c>
    </row>
    <row r="360" spans="1:13" ht="10.5">
      <c r="A360" s="1" t="s">
        <v>860</v>
      </c>
      <c r="B360" s="1" t="s">
        <v>861</v>
      </c>
      <c r="E360" s="1" t="s">
        <v>740</v>
      </c>
      <c r="K360" s="1" t="s">
        <v>794</v>
      </c>
      <c r="L360" s="1">
        <v>4</v>
      </c>
      <c r="M360" s="1">
        <v>500</v>
      </c>
    </row>
    <row r="361" spans="1:13" ht="10.5">
      <c r="A361" s="1" t="s">
        <v>862</v>
      </c>
      <c r="B361" s="1" t="s">
        <v>861</v>
      </c>
      <c r="D361" s="1" t="s">
        <v>651</v>
      </c>
      <c r="E361" s="1" t="s">
        <v>678</v>
      </c>
      <c r="K361" s="1" t="s">
        <v>861</v>
      </c>
      <c r="L361" s="1" t="s">
        <v>637</v>
      </c>
      <c r="M361" s="1">
        <v>2000</v>
      </c>
    </row>
    <row r="362" ht="10.5">
      <c r="A362" s="1" t="s">
        <v>863</v>
      </c>
    </row>
    <row r="363" spans="1:13" ht="10.5">
      <c r="A363" s="1" t="s">
        <v>864</v>
      </c>
      <c r="B363" s="1" t="s">
        <v>865</v>
      </c>
      <c r="C363" s="1">
        <v>6</v>
      </c>
      <c r="D363" s="1">
        <v>-1</v>
      </c>
      <c r="E363" s="1" t="s">
        <v>796</v>
      </c>
      <c r="F363" s="1" t="s">
        <v>866</v>
      </c>
      <c r="G363" s="1" t="s">
        <v>832</v>
      </c>
      <c r="H363" s="1" t="s">
        <v>833</v>
      </c>
      <c r="I363" s="1" t="s">
        <v>834</v>
      </c>
      <c r="J363" s="1" t="s">
        <v>835</v>
      </c>
      <c r="K363" s="1" t="s">
        <v>867</v>
      </c>
      <c r="L363" s="1" t="s">
        <v>657</v>
      </c>
      <c r="M363" s="1">
        <v>2000</v>
      </c>
    </row>
    <row r="364" ht="10.5">
      <c r="A364" s="1" t="s">
        <v>868</v>
      </c>
    </row>
    <row r="365" spans="1:13" ht="10.5">
      <c r="A365" s="1" t="s">
        <v>869</v>
      </c>
      <c r="B365" s="1" t="s">
        <v>870</v>
      </c>
      <c r="C365" s="1">
        <v>6</v>
      </c>
      <c r="D365" s="1">
        <v>-2</v>
      </c>
      <c r="E365" s="1" t="s">
        <v>871</v>
      </c>
      <c r="G365" s="1" t="s">
        <v>832</v>
      </c>
      <c r="H365" s="1" t="s">
        <v>833</v>
      </c>
      <c r="I365" s="1" t="s">
        <v>834</v>
      </c>
      <c r="J365" s="1" t="s">
        <v>835</v>
      </c>
      <c r="K365" s="1" t="s">
        <v>867</v>
      </c>
      <c r="L365" s="1" t="s">
        <v>657</v>
      </c>
      <c r="M365" s="1">
        <v>4500</v>
      </c>
    </row>
    <row r="366" ht="10.5">
      <c r="A366" s="1" t="s">
        <v>872</v>
      </c>
    </row>
    <row r="367" spans="1:13" ht="10.5">
      <c r="A367" s="1" t="s">
        <v>873</v>
      </c>
      <c r="B367" s="1" t="s">
        <v>874</v>
      </c>
      <c r="C367" s="1">
        <v>7</v>
      </c>
      <c r="D367" s="1">
        <v>-3</v>
      </c>
      <c r="E367" s="1" t="s">
        <v>871</v>
      </c>
      <c r="F367" s="1" t="s">
        <v>875</v>
      </c>
      <c r="G367" s="1" t="s">
        <v>832</v>
      </c>
      <c r="H367" s="1" t="s">
        <v>833</v>
      </c>
      <c r="I367" s="1" t="s">
        <v>834</v>
      </c>
      <c r="J367" s="1" t="s">
        <v>835</v>
      </c>
      <c r="K367" s="1" t="s">
        <v>867</v>
      </c>
      <c r="L367" s="1" t="s">
        <v>818</v>
      </c>
      <c r="M367" s="1">
        <v>7500</v>
      </c>
    </row>
    <row r="368" ht="10.5">
      <c r="A368" s="1" t="s">
        <v>876</v>
      </c>
    </row>
    <row r="369" spans="1:13" ht="10.5">
      <c r="A369" s="1" t="s">
        <v>877</v>
      </c>
      <c r="B369" s="1" t="s">
        <v>878</v>
      </c>
      <c r="C369" s="1">
        <v>10</v>
      </c>
      <c r="D369" s="1">
        <v>-5</v>
      </c>
      <c r="E369" s="1" t="s">
        <v>678</v>
      </c>
      <c r="F369" s="1" t="s">
        <v>755</v>
      </c>
      <c r="G369" s="1" t="s">
        <v>840</v>
      </c>
      <c r="H369" s="1" t="s">
        <v>726</v>
      </c>
      <c r="I369" s="1" t="s">
        <v>879</v>
      </c>
      <c r="J369" s="1" t="s">
        <v>880</v>
      </c>
      <c r="K369" s="1" t="s">
        <v>767</v>
      </c>
      <c r="L369" s="1" t="s">
        <v>881</v>
      </c>
      <c r="M369" s="1">
        <v>5500</v>
      </c>
    </row>
    <row r="370" ht="10.5">
      <c r="A370" s="1" t="s">
        <v>882</v>
      </c>
    </row>
    <row r="371" spans="1:13" ht="10.5">
      <c r="A371" s="1" t="s">
        <v>883</v>
      </c>
      <c r="B371" s="1" t="s">
        <v>811</v>
      </c>
      <c r="E371" s="1" t="s">
        <v>678</v>
      </c>
      <c r="G371" s="1" t="s">
        <v>812</v>
      </c>
      <c r="H371" s="1" t="s">
        <v>813</v>
      </c>
      <c r="I371" s="1" t="s">
        <v>814</v>
      </c>
      <c r="J371" s="1" t="s">
        <v>815</v>
      </c>
      <c r="K371" s="1" t="s">
        <v>774</v>
      </c>
      <c r="L371" s="1" t="s">
        <v>884</v>
      </c>
      <c r="M371" s="1">
        <v>600</v>
      </c>
    </row>
    <row r="372" spans="1:13" ht="10.5">
      <c r="A372" s="1" t="s">
        <v>885</v>
      </c>
      <c r="B372" s="1" t="s">
        <v>811</v>
      </c>
      <c r="E372" s="1" t="s">
        <v>740</v>
      </c>
      <c r="G372" s="1" t="s">
        <v>812</v>
      </c>
      <c r="H372" s="1" t="s">
        <v>813</v>
      </c>
      <c r="I372" s="1" t="s">
        <v>814</v>
      </c>
      <c r="J372" s="1" t="s">
        <v>815</v>
      </c>
      <c r="K372" s="1" t="s">
        <v>886</v>
      </c>
      <c r="L372" s="1" t="s">
        <v>853</v>
      </c>
      <c r="M372" s="1">
        <v>2000</v>
      </c>
    </row>
    <row r="373" ht="10.5">
      <c r="A373" s="1" t="s">
        <v>887</v>
      </c>
    </row>
    <row r="374" spans="1:13" ht="10.5">
      <c r="A374" s="1" t="s">
        <v>888</v>
      </c>
      <c r="B374" s="1" t="s">
        <v>889</v>
      </c>
      <c r="E374" s="1" t="s">
        <v>678</v>
      </c>
      <c r="G374" s="1" t="s">
        <v>890</v>
      </c>
      <c r="H374" s="1" t="s">
        <v>891</v>
      </c>
      <c r="I374" s="1" t="s">
        <v>892</v>
      </c>
      <c r="J374" s="1" t="s">
        <v>893</v>
      </c>
      <c r="K374" s="1" t="s">
        <v>894</v>
      </c>
      <c r="L374" s="1" t="s">
        <v>853</v>
      </c>
      <c r="M374" s="1">
        <v>1000</v>
      </c>
    </row>
    <row r="375" spans="1:13" ht="10.5">
      <c r="A375" s="1" t="s">
        <v>895</v>
      </c>
      <c r="B375" s="1" t="s">
        <v>889</v>
      </c>
      <c r="E375" s="1" t="s">
        <v>740</v>
      </c>
      <c r="G375" s="1" t="s">
        <v>890</v>
      </c>
      <c r="H375" s="1" t="s">
        <v>891</v>
      </c>
      <c r="I375" s="1" t="s">
        <v>892</v>
      </c>
      <c r="J375" s="1" t="s">
        <v>893</v>
      </c>
      <c r="K375" s="1" t="s">
        <v>774</v>
      </c>
      <c r="L375" s="1" t="s">
        <v>881</v>
      </c>
      <c r="M375" s="1">
        <v>12000</v>
      </c>
    </row>
    <row r="376" ht="10.5">
      <c r="A376" s="1" t="s">
        <v>896</v>
      </c>
    </row>
    <row r="377" spans="1:11" ht="10.5">
      <c r="A377" s="1" t="s">
        <v>897</v>
      </c>
      <c r="B377" s="1" t="s">
        <v>898</v>
      </c>
      <c r="C377" s="1">
        <v>3</v>
      </c>
      <c r="E377" s="1" t="s">
        <v>678</v>
      </c>
      <c r="K377" s="1" t="s">
        <v>894</v>
      </c>
    </row>
    <row r="378" spans="1:11" ht="10.5">
      <c r="A378" s="1" t="s">
        <v>899</v>
      </c>
      <c r="B378" s="1" t="s">
        <v>898</v>
      </c>
      <c r="C378" s="1">
        <v>5</v>
      </c>
      <c r="E378" s="1" t="s">
        <v>678</v>
      </c>
      <c r="K378" s="1" t="s">
        <v>894</v>
      </c>
    </row>
    <row r="379" ht="10.5">
      <c r="A379" s="1" t="s">
        <v>663</v>
      </c>
    </row>
    <row r="380" spans="1:11" ht="10.5">
      <c r="A380" s="1" t="s">
        <v>900</v>
      </c>
      <c r="B380" s="1" t="s">
        <v>901</v>
      </c>
      <c r="C380" s="1">
        <v>4</v>
      </c>
      <c r="E380" s="1" t="s">
        <v>678</v>
      </c>
      <c r="G380" s="1" t="s">
        <v>699</v>
      </c>
      <c r="H380" s="1" t="s">
        <v>744</v>
      </c>
      <c r="I380" s="1" t="s">
        <v>745</v>
      </c>
      <c r="J380" s="1" t="s">
        <v>746</v>
      </c>
      <c r="K380" s="1" t="s">
        <v>902</v>
      </c>
    </row>
    <row r="381" spans="1:11" ht="10.5">
      <c r="A381" s="1" t="s">
        <v>903</v>
      </c>
      <c r="B381" s="1" t="s">
        <v>901</v>
      </c>
      <c r="C381" s="1">
        <v>4</v>
      </c>
      <c r="E381" s="1" t="s">
        <v>740</v>
      </c>
      <c r="G381" s="1" t="s">
        <v>699</v>
      </c>
      <c r="H381" s="1" t="s">
        <v>744</v>
      </c>
      <c r="I381" s="1" t="s">
        <v>745</v>
      </c>
      <c r="J381" s="1" t="s">
        <v>746</v>
      </c>
      <c r="K381" s="1" t="s">
        <v>904</v>
      </c>
    </row>
    <row r="382" spans="1:11" ht="10.5">
      <c r="A382" s="1" t="s">
        <v>905</v>
      </c>
      <c r="B382" s="1" t="s">
        <v>901</v>
      </c>
      <c r="C382" s="1">
        <v>4</v>
      </c>
      <c r="E382" s="1" t="s">
        <v>762</v>
      </c>
      <c r="F382" s="1">
        <v>1</v>
      </c>
      <c r="G382" s="1" t="s">
        <v>699</v>
      </c>
      <c r="H382" s="1" t="s">
        <v>744</v>
      </c>
      <c r="I382" s="1" t="s">
        <v>745</v>
      </c>
      <c r="J382" s="1" t="s">
        <v>746</v>
      </c>
      <c r="K382" s="1" t="s">
        <v>906</v>
      </c>
    </row>
    <row r="383" spans="1:11" ht="10.5">
      <c r="A383" s="1" t="s">
        <v>907</v>
      </c>
      <c r="B383" s="1" t="s">
        <v>901</v>
      </c>
      <c r="C383" s="1">
        <v>5</v>
      </c>
      <c r="D383" s="1">
        <v>-1</v>
      </c>
      <c r="E383" s="1" t="s">
        <v>740</v>
      </c>
      <c r="G383" s="1" t="s">
        <v>699</v>
      </c>
      <c r="H383" s="1" t="s">
        <v>758</v>
      </c>
      <c r="I383" s="1" t="s">
        <v>759</v>
      </c>
      <c r="J383" s="1" t="s">
        <v>760</v>
      </c>
      <c r="K383" s="1" t="s">
        <v>908</v>
      </c>
    </row>
    <row r="384" spans="1:11" ht="10.5">
      <c r="A384" s="1" t="s">
        <v>909</v>
      </c>
      <c r="B384" s="1" t="s">
        <v>901</v>
      </c>
      <c r="C384" s="1">
        <v>5</v>
      </c>
      <c r="E384" s="1" t="s">
        <v>762</v>
      </c>
      <c r="F384" s="1">
        <v>2</v>
      </c>
      <c r="G384" s="1" t="s">
        <v>724</v>
      </c>
      <c r="H384" s="1" t="s">
        <v>787</v>
      </c>
      <c r="I384" s="1" t="s">
        <v>788</v>
      </c>
      <c r="J384" s="1" t="s">
        <v>789</v>
      </c>
      <c r="K384" s="1" t="s">
        <v>910</v>
      </c>
    </row>
    <row r="385" spans="1:11" ht="10.5">
      <c r="A385" s="1" t="s">
        <v>911</v>
      </c>
      <c r="B385" s="1" t="s">
        <v>901</v>
      </c>
      <c r="E385" s="1" t="s">
        <v>740</v>
      </c>
      <c r="G385" s="1" t="s">
        <v>724</v>
      </c>
      <c r="H385" s="1" t="s">
        <v>787</v>
      </c>
      <c r="I385" s="1" t="s">
        <v>788</v>
      </c>
      <c r="J385" s="1" t="s">
        <v>789</v>
      </c>
      <c r="K385" s="1" t="s">
        <v>912</v>
      </c>
    </row>
    <row r="386" spans="1:11" ht="10.5">
      <c r="A386" s="1" t="s">
        <v>913</v>
      </c>
      <c r="B386" s="1" t="s">
        <v>901</v>
      </c>
      <c r="E386" s="1" t="s">
        <v>678</v>
      </c>
      <c r="G386" s="1" t="s">
        <v>812</v>
      </c>
      <c r="H386" s="1" t="s">
        <v>813</v>
      </c>
      <c r="I386" s="1" t="s">
        <v>814</v>
      </c>
      <c r="J386" s="1" t="s">
        <v>815</v>
      </c>
      <c r="K386" s="1" t="s">
        <v>902</v>
      </c>
    </row>
    <row r="388" spans="1:4" ht="10.5">
      <c r="A388" s="4" t="s">
        <v>168</v>
      </c>
      <c r="B388" s="4" t="s">
        <v>149</v>
      </c>
      <c r="C388" s="4" t="s">
        <v>5</v>
      </c>
      <c r="D388" s="4" t="s">
        <v>161</v>
      </c>
    </row>
    <row r="389" spans="1:3" ht="10.5">
      <c r="A389" s="4" t="s">
        <v>169</v>
      </c>
      <c r="B389" s="4"/>
      <c r="C389" s="4"/>
    </row>
    <row r="390" spans="1:3" ht="10.5">
      <c r="A390" s="1" t="s">
        <v>914</v>
      </c>
      <c r="B390" s="1">
        <v>3</v>
      </c>
      <c r="C390" s="1">
        <v>300</v>
      </c>
    </row>
    <row r="391" spans="1:3" ht="10.5">
      <c r="A391" s="1" t="s">
        <v>915</v>
      </c>
      <c r="B391" s="1">
        <v>2</v>
      </c>
      <c r="C391" s="1">
        <v>100</v>
      </c>
    </row>
    <row r="392" spans="1:3" ht="10.5">
      <c r="A392" s="1" t="s">
        <v>916</v>
      </c>
      <c r="B392" s="1">
        <v>3</v>
      </c>
      <c r="C392" s="1">
        <v>50</v>
      </c>
    </row>
    <row r="393" spans="1:3" ht="10.5">
      <c r="A393" s="1" t="s">
        <v>917</v>
      </c>
      <c r="B393" s="1" t="s">
        <v>641</v>
      </c>
      <c r="C393" s="1">
        <v>400</v>
      </c>
    </row>
    <row r="394" ht="10.5">
      <c r="A394" s="4" t="s">
        <v>170</v>
      </c>
    </row>
    <row r="395" spans="1:4" ht="10.5">
      <c r="A395" s="1" t="s">
        <v>918</v>
      </c>
      <c r="B395" s="1" t="s">
        <v>641</v>
      </c>
      <c r="C395" s="1">
        <v>200</v>
      </c>
      <c r="D395" s="1">
        <v>2</v>
      </c>
    </row>
    <row r="396" spans="1:4" ht="10.5">
      <c r="A396" s="1" t="s">
        <v>919</v>
      </c>
      <c r="B396" s="1" t="s">
        <v>639</v>
      </c>
      <c r="C396" s="1">
        <v>400</v>
      </c>
      <c r="D396" s="1">
        <v>3</v>
      </c>
    </row>
    <row r="397" spans="1:3" ht="10.5">
      <c r="A397" s="1" t="s">
        <v>915</v>
      </c>
      <c r="B397" s="1">
        <v>2</v>
      </c>
      <c r="C397" s="1">
        <v>100</v>
      </c>
    </row>
    <row r="398" spans="1:3" ht="10.5">
      <c r="A398" s="1" t="s">
        <v>920</v>
      </c>
      <c r="B398" s="1" t="s">
        <v>884</v>
      </c>
      <c r="C398" s="1">
        <v>200</v>
      </c>
    </row>
    <row r="399" spans="1:3" ht="10.5">
      <c r="A399" s="1" t="s">
        <v>921</v>
      </c>
      <c r="B399" s="1" t="s">
        <v>657</v>
      </c>
      <c r="C399" s="1">
        <v>300</v>
      </c>
    </row>
    <row r="400" ht="10.5">
      <c r="A400" s="4" t="s">
        <v>171</v>
      </c>
    </row>
    <row r="401" spans="1:3" ht="10.5">
      <c r="A401" s="1" t="s">
        <v>922</v>
      </c>
      <c r="B401" s="1">
        <v>2</v>
      </c>
      <c r="C401" s="1">
        <v>100</v>
      </c>
    </row>
    <row r="402" spans="1:3" ht="10.5">
      <c r="A402" s="1" t="s">
        <v>923</v>
      </c>
      <c r="B402" s="1">
        <v>7</v>
      </c>
      <c r="C402" s="1">
        <v>3000</v>
      </c>
    </row>
    <row r="403" spans="1:3" ht="10.5">
      <c r="A403" s="1" t="s">
        <v>915</v>
      </c>
      <c r="B403" s="1">
        <v>2</v>
      </c>
      <c r="C403" s="1">
        <v>100</v>
      </c>
    </row>
    <row r="404" spans="1:3" ht="10.5">
      <c r="A404" s="1" t="s">
        <v>924</v>
      </c>
      <c r="B404" s="1" t="s">
        <v>657</v>
      </c>
      <c r="C404" s="1">
        <v>2000</v>
      </c>
    </row>
    <row r="405" spans="1:3" ht="10.5">
      <c r="A405" s="1" t="s">
        <v>917</v>
      </c>
      <c r="B405" s="1" t="s">
        <v>641</v>
      </c>
      <c r="C405" s="1">
        <v>400</v>
      </c>
    </row>
    <row r="406" spans="1:3" ht="10.5">
      <c r="A406" s="1" t="s">
        <v>925</v>
      </c>
      <c r="B406" s="1">
        <v>4</v>
      </c>
      <c r="C406" s="1">
        <v>300</v>
      </c>
    </row>
    <row r="408" ht="10.5">
      <c r="A408" s="4" t="s">
        <v>926</v>
      </c>
    </row>
    <row r="409" spans="1:29" ht="10.5">
      <c r="A409" s="1" t="str">
        <f>Sheet1!A141</f>
        <v>Ares Predator IV</v>
      </c>
      <c r="AC409" s="1" t="str">
        <f>IF(A409=0,"",CONCATENATE(A409,CHAR(10)))</f>
        <v>Ares Predator IV
</v>
      </c>
    </row>
    <row r="410" spans="1:29" ht="10.5">
      <c r="A410" s="1">
        <f>Sheet1!B141</f>
        <v>0</v>
      </c>
      <c r="AC410" s="1">
        <f>IF(A410=0,"",CONCATENATE("  + ",A410,CHAR(10)))</f>
      </c>
    </row>
    <row r="411" spans="1:29" ht="10.5">
      <c r="A411" s="1">
        <f>Sheet1!E141</f>
        <v>0</v>
      </c>
      <c r="AC411" s="1">
        <f>IF(A411=0,"",CONCATENATE("  + ",A411,CHAR(10)))</f>
      </c>
    </row>
    <row r="412" spans="1:29" ht="10.5">
      <c r="A412" s="1">
        <f>Sheet1!H141</f>
        <v>0</v>
      </c>
      <c r="AC412" s="1">
        <f>IF(A412=0,"",CONCATENATE("  + ",A412,CHAR(10)))</f>
      </c>
    </row>
    <row r="413" ht="10.5">
      <c r="AC413" s="1">
        <f>IF(A413=0,"",CONCATENATE("  + ",A413,CHAR(10)))</f>
      </c>
    </row>
    <row r="414" spans="1:29" ht="10.5">
      <c r="A414" s="1">
        <f>Sheet1!A142</f>
        <v>0</v>
      </c>
      <c r="AC414" s="1">
        <f>IF(A414=0,"",CONCATENATE(A414,CHAR(10)))</f>
      </c>
    </row>
    <row r="415" spans="1:29" ht="10.5">
      <c r="A415" s="1">
        <f>Sheet1!B142</f>
        <v>0</v>
      </c>
      <c r="AC415" s="1">
        <f>IF(A415=0,"",CONCATENATE("  + ",A415,CHAR(10)))</f>
      </c>
    </row>
    <row r="416" spans="1:29" ht="10.5">
      <c r="A416" s="1">
        <f>Sheet1!E142</f>
        <v>0</v>
      </c>
      <c r="AC416" s="1">
        <f>IF(A416=0,"",CONCATENATE("  + ",A416,CHAR(10)))</f>
      </c>
    </row>
    <row r="417" spans="1:29" ht="10.5">
      <c r="A417" s="1">
        <f>Sheet1!H142</f>
        <v>0</v>
      </c>
      <c r="AC417" s="1">
        <f>IF(A417=0,"",CONCATENATE("  + ",A417,CHAR(10)))</f>
      </c>
    </row>
    <row r="418" ht="10.5">
      <c r="AC418" s="1">
        <f>IF(A418=0,"",CONCATENATE("  + ",A418,CHAR(10)))</f>
      </c>
    </row>
    <row r="419" spans="1:29" ht="10.5">
      <c r="A419" s="1">
        <f>Sheet1!A143</f>
        <v>0</v>
      </c>
      <c r="AC419" s="1">
        <f>IF(A419=0,"",CONCATENATE(A419,CHAR(10)))</f>
      </c>
    </row>
    <row r="420" spans="1:29" ht="10.5">
      <c r="A420" s="1">
        <f>Sheet1!B143</f>
        <v>0</v>
      </c>
      <c r="AC420" s="1">
        <f>IF(A420=0,"",CONCATENATE("  + ",A420,CHAR(10)))</f>
      </c>
    </row>
    <row r="421" spans="1:29" ht="10.5">
      <c r="A421" s="1">
        <f>Sheet1!E143</f>
        <v>0</v>
      </c>
      <c r="AC421" s="1">
        <f>IF(A421=0,"",CONCATENATE("  + ",A421,CHAR(10)))</f>
      </c>
    </row>
    <row r="422" spans="1:29" ht="10.5">
      <c r="A422" s="1">
        <f>Sheet1!H143</f>
        <v>0</v>
      </c>
      <c r="AC422" s="1">
        <f>IF(A422=0,"",CONCATENATE("  + ",A422,CHAR(10)))</f>
      </c>
    </row>
    <row r="423" ht="10.5">
      <c r="AC423" s="1">
        <f>IF(A423=0,"",CONCATENATE("  + ",A423,CHAR(10)))</f>
      </c>
    </row>
    <row r="424" spans="1:29" ht="10.5">
      <c r="A424" s="1">
        <f>Sheet1!A144</f>
        <v>0</v>
      </c>
      <c r="AC424" s="1">
        <f>IF(A424=0,"",CONCATENATE(A424,CHAR(10)))</f>
      </c>
    </row>
    <row r="425" spans="1:29" ht="10.5">
      <c r="A425" s="1">
        <f>Sheet1!B144</f>
        <v>0</v>
      </c>
      <c r="AC425" s="1">
        <f>IF(A425=0,"",CONCATENATE("  + ",A425,CHAR(10)))</f>
      </c>
    </row>
    <row r="426" spans="1:29" ht="10.5">
      <c r="A426" s="1">
        <f>Sheet1!E144</f>
        <v>0</v>
      </c>
      <c r="AC426" s="1">
        <f>IF(A426=0,"",CONCATENATE("  + ",A426,CHAR(10)))</f>
      </c>
    </row>
    <row r="427" spans="1:29" ht="10.5">
      <c r="A427" s="1">
        <f>Sheet1!H144</f>
        <v>0</v>
      </c>
      <c r="AC427" s="1">
        <f>IF(A427=0,"",CONCATENATE("  + ",A427,CHAR(10)))</f>
      </c>
    </row>
    <row r="428" ht="10.5">
      <c r="AC428" s="1">
        <f>IF(A428=0,"",CONCATENATE("  + ",A428,CHAR(10)))</f>
      </c>
    </row>
    <row r="429" spans="1:29" ht="10.5">
      <c r="A429" s="1">
        <f>Sheet1!A145</f>
        <v>0</v>
      </c>
      <c r="AC429" s="1">
        <f>IF(A429=0,"",CONCATENATE(A429,CHAR(10)))</f>
      </c>
    </row>
    <row r="430" spans="1:29" ht="10.5">
      <c r="A430" s="1">
        <f>Sheet1!B145</f>
        <v>0</v>
      </c>
      <c r="AC430" s="1">
        <f>IF(A430=0,"",CONCATENATE("  + ",A430,CHAR(10)))</f>
      </c>
    </row>
    <row r="431" spans="1:29" ht="10.5">
      <c r="A431" s="1">
        <f>Sheet1!E145</f>
        <v>0</v>
      </c>
      <c r="AC431" s="1">
        <f>IF(A431=0,"",CONCATENATE("  + ",A431,CHAR(10)))</f>
      </c>
    </row>
    <row r="432" spans="1:29" ht="10.5">
      <c r="A432" s="1">
        <f>Sheet1!H145</f>
        <v>0</v>
      </c>
      <c r="AC432" s="1">
        <f>IF(A432=0,"",CONCATENATE("  + ",A432,CHAR(10)))</f>
      </c>
    </row>
    <row r="433" ht="10.5">
      <c r="AC433" s="1">
        <f>IF(A433=0,"",CONCATENATE("  + ",A433,CHAR(10)))</f>
      </c>
    </row>
    <row r="434" spans="1:29" ht="10.5">
      <c r="A434" s="1">
        <f>Sheet1!A146</f>
        <v>0</v>
      </c>
      <c r="AC434" s="1">
        <f>IF(A434=0,"",CONCATENATE(A434,CHAR(10)))</f>
      </c>
    </row>
    <row r="435" spans="1:29" ht="10.5">
      <c r="A435" s="1">
        <f>Sheet1!B146</f>
        <v>0</v>
      </c>
      <c r="AC435" s="1">
        <f>IF(A435=0,"",CONCATENATE("  + ",A435,CHAR(10)))</f>
      </c>
    </row>
    <row r="436" spans="1:29" ht="10.5">
      <c r="A436" s="1">
        <f>Sheet1!E146</f>
        <v>0</v>
      </c>
      <c r="AC436" s="1">
        <f>IF(A436=0,"",CONCATENATE("  + ",A436,CHAR(10)))</f>
      </c>
    </row>
    <row r="437" spans="1:29" ht="10.5">
      <c r="A437" s="1">
        <f>Sheet1!H146</f>
        <v>0</v>
      </c>
      <c r="AC437" s="1">
        <f>IF(A437=0,"",CONCATENATE("  + ",A437,CHAR(10)))</f>
      </c>
    </row>
    <row r="438" ht="10.5">
      <c r="AC438" s="1">
        <f>IF(A438=0,"",CONCATENATE("  + ",A438,CHAR(10)))</f>
      </c>
    </row>
    <row r="439" spans="1:29" ht="10.5">
      <c r="A439" s="1">
        <f>Sheet1!A147</f>
        <v>0</v>
      </c>
      <c r="AC439" s="1">
        <f>IF(A439=0,"",CONCATENATE(A439,CHAR(10)))</f>
      </c>
    </row>
    <row r="440" spans="1:29" ht="10.5">
      <c r="A440" s="1">
        <f>Sheet1!B147</f>
        <v>0</v>
      </c>
      <c r="AC440" s="1">
        <f>IF(A440=0,"",CONCATENATE("  + ",A440,CHAR(10)))</f>
      </c>
    </row>
    <row r="441" spans="1:29" ht="10.5">
      <c r="A441" s="1">
        <f>Sheet1!E147</f>
        <v>0</v>
      </c>
      <c r="AC441" s="1">
        <f>IF(A441=0,"",CONCATENATE("  + ",A441,CHAR(10)))</f>
      </c>
    </row>
    <row r="442" spans="1:29" ht="10.5">
      <c r="A442" s="1">
        <f>Sheet1!H147</f>
        <v>0</v>
      </c>
      <c r="AC442" s="1">
        <f>IF(A442=0,"",CONCATENATE("  + ",A442,CHAR(10)))</f>
      </c>
    </row>
    <row r="443" ht="10.5">
      <c r="AC443" s="1">
        <f>IF(A443=0,"",CONCATENATE("  + ",A443,CHAR(10)))</f>
      </c>
    </row>
    <row r="445" ht="10.5">
      <c r="A445" s="1" t="str">
        <f>CONCATENATE(AC409,AC410,AC411,AC412,AC413,AC414,AC415,AC416,AC417,AC418,AC419,AC420,AC421,AC422,AC423,AC424,AC425,AC426,AC427,AC428)</f>
        <v>Ares Predator IV
</v>
      </c>
    </row>
    <row r="446" ht="10.5">
      <c r="A446" s="1">
        <f>CONCATENATE(AC429,AC430,AC431,AC432,AC433,AC434,AC435,AC436,AC437,AC438,AC439,AC440,AC441,AC442,AC443)</f>
      </c>
    </row>
    <row r="447" ht="10.5">
      <c r="A447" s="1" t="str">
        <f>CONCATENATE(A445,A446)</f>
        <v>Ares Predator IV
</v>
      </c>
    </row>
    <row r="460" spans="1:6" ht="10.5">
      <c r="A460" s="4" t="s">
        <v>927</v>
      </c>
      <c r="B460" s="1" t="s">
        <v>152</v>
      </c>
      <c r="C460" s="1" t="s">
        <v>151</v>
      </c>
      <c r="D460" s="1" t="s">
        <v>928</v>
      </c>
      <c r="E460" s="1" t="s">
        <v>149</v>
      </c>
      <c r="F460" s="1" t="s">
        <v>5</v>
      </c>
    </row>
    <row r="461" spans="1:6" ht="10.5">
      <c r="A461" s="1" t="s">
        <v>167</v>
      </c>
      <c r="B461" s="1">
        <v>0</v>
      </c>
      <c r="C461" s="1">
        <v>-4</v>
      </c>
      <c r="D461" s="1" t="s">
        <v>394</v>
      </c>
      <c r="E461" s="1" t="s">
        <v>850</v>
      </c>
      <c r="F461" s="1">
        <v>7</v>
      </c>
    </row>
    <row r="462" spans="1:6" ht="10.5">
      <c r="A462" s="1" t="s">
        <v>929</v>
      </c>
      <c r="B462" s="1">
        <v>1</v>
      </c>
      <c r="C462" s="1">
        <v>-1</v>
      </c>
      <c r="D462" s="1" t="s">
        <v>394</v>
      </c>
      <c r="E462" s="1" t="s">
        <v>884</v>
      </c>
      <c r="F462" s="1">
        <v>5</v>
      </c>
    </row>
    <row r="463" spans="1:6" ht="10.5">
      <c r="A463" s="1" t="s">
        <v>930</v>
      </c>
      <c r="B463" s="1">
        <v>2</v>
      </c>
      <c r="C463" s="1">
        <v>-2</v>
      </c>
      <c r="D463" s="1" t="s">
        <v>394</v>
      </c>
      <c r="E463" s="1" t="s">
        <v>657</v>
      </c>
      <c r="F463" s="1">
        <v>10</v>
      </c>
    </row>
    <row r="464" spans="1:6" ht="10.5">
      <c r="A464" s="1" t="s">
        <v>931</v>
      </c>
      <c r="B464" s="1">
        <v>2</v>
      </c>
      <c r="C464" s="1">
        <v>2</v>
      </c>
      <c r="D464" s="1" t="s">
        <v>932</v>
      </c>
      <c r="E464" s="1" t="s">
        <v>933</v>
      </c>
      <c r="F464" s="1">
        <v>10</v>
      </c>
    </row>
    <row r="465" spans="1:6" ht="10.5">
      <c r="A465" s="1" t="s">
        <v>205</v>
      </c>
      <c r="B465" s="1">
        <v>2</v>
      </c>
      <c r="C465" s="1">
        <v>2</v>
      </c>
      <c r="D465" s="1" t="s">
        <v>162</v>
      </c>
      <c r="E465" s="1" t="s">
        <v>641</v>
      </c>
      <c r="F465" s="1">
        <v>3</v>
      </c>
    </row>
    <row r="466" spans="1:6" ht="10.5">
      <c r="A466" s="1" t="s">
        <v>934</v>
      </c>
      <c r="B466" s="1">
        <v>0</v>
      </c>
      <c r="C466" s="1">
        <v>0</v>
      </c>
      <c r="D466" s="1" t="s">
        <v>394</v>
      </c>
      <c r="E466" s="1" t="s">
        <v>933</v>
      </c>
      <c r="F466" s="1">
        <v>2</v>
      </c>
    </row>
    <row r="467" spans="1:6" ht="10.5">
      <c r="A467" s="1" t="s">
        <v>935</v>
      </c>
      <c r="B467" s="1">
        <v>6</v>
      </c>
      <c r="D467" s="1" t="s">
        <v>936</v>
      </c>
      <c r="E467" s="1" t="s">
        <v>770</v>
      </c>
      <c r="F467" s="1">
        <v>8</v>
      </c>
    </row>
    <row r="468" spans="1:6" ht="10.5">
      <c r="A468" s="1" t="s">
        <v>937</v>
      </c>
      <c r="D468" s="1" t="s">
        <v>394</v>
      </c>
      <c r="E468" s="1" t="s">
        <v>850</v>
      </c>
      <c r="F468" s="1">
        <v>45</v>
      </c>
    </row>
    <row r="469" ht="10.5">
      <c r="A469" s="1" t="s">
        <v>938</v>
      </c>
    </row>
    <row r="470" spans="1:6" ht="10.5">
      <c r="A470" s="1" t="s">
        <v>939</v>
      </c>
      <c r="B470" s="1">
        <v>6</v>
      </c>
      <c r="C470" s="1">
        <v>-3</v>
      </c>
      <c r="D470" s="1" t="s">
        <v>162</v>
      </c>
      <c r="E470" s="1" t="s">
        <v>639</v>
      </c>
      <c r="F470" s="1">
        <v>30</v>
      </c>
    </row>
    <row r="471" spans="1:6" ht="10.5">
      <c r="A471" s="1" t="s">
        <v>940</v>
      </c>
      <c r="F471" s="1">
        <v>200</v>
      </c>
    </row>
    <row r="472" spans="1:6" ht="10.5">
      <c r="A472" s="1" t="s">
        <v>941</v>
      </c>
      <c r="B472" s="1">
        <v>12</v>
      </c>
      <c r="C472" s="1">
        <v>2</v>
      </c>
      <c r="D472" s="1" t="s">
        <v>932</v>
      </c>
      <c r="E472" s="1" t="s">
        <v>853</v>
      </c>
      <c r="F472" s="1">
        <v>35</v>
      </c>
    </row>
    <row r="473" spans="1:6" ht="10.5">
      <c r="A473" s="1" t="s">
        <v>942</v>
      </c>
      <c r="B473" s="1">
        <v>10</v>
      </c>
      <c r="C473" s="1">
        <v>-2</v>
      </c>
      <c r="D473" s="1" t="s">
        <v>394</v>
      </c>
      <c r="E473" s="1" t="s">
        <v>943</v>
      </c>
      <c r="F473" s="1">
        <v>45</v>
      </c>
    </row>
    <row r="474" spans="1:6" ht="10.5">
      <c r="A474" s="1" t="s">
        <v>944</v>
      </c>
      <c r="F474" s="1">
        <v>30</v>
      </c>
    </row>
    <row r="475" spans="1:6" ht="10.5">
      <c r="A475" s="1" t="s">
        <v>945</v>
      </c>
      <c r="F475" s="1">
        <v>35</v>
      </c>
    </row>
    <row r="476" ht="10.5">
      <c r="A476" s="1" t="s">
        <v>946</v>
      </c>
    </row>
    <row r="477" spans="1:5" ht="10.5">
      <c r="A477" s="1" t="s">
        <v>947</v>
      </c>
      <c r="B477" s="1">
        <v>16</v>
      </c>
      <c r="C477" s="1">
        <v>-2</v>
      </c>
      <c r="D477" s="1" t="s">
        <v>394</v>
      </c>
      <c r="E477" s="1" t="s">
        <v>881</v>
      </c>
    </row>
    <row r="478" spans="1:5" ht="10.5">
      <c r="A478" s="1" t="s">
        <v>948</v>
      </c>
      <c r="B478" s="1">
        <v>16</v>
      </c>
      <c r="C478" s="1">
        <v>2</v>
      </c>
      <c r="D478" s="1" t="s">
        <v>932</v>
      </c>
      <c r="E478" s="1" t="s">
        <v>850</v>
      </c>
    </row>
    <row r="479" spans="1:5" ht="10.5">
      <c r="A479" s="1" t="s">
        <v>949</v>
      </c>
      <c r="B479" s="1">
        <v>14</v>
      </c>
      <c r="C479" s="1">
        <v>-2</v>
      </c>
      <c r="D479" s="1" t="s">
        <v>394</v>
      </c>
      <c r="E479" s="1" t="s">
        <v>881</v>
      </c>
    </row>
    <row r="480" ht="10.5">
      <c r="A480" s="1" t="s">
        <v>950</v>
      </c>
    </row>
    <row r="481" spans="1:6" ht="10.5">
      <c r="A481" s="1" t="s">
        <v>951</v>
      </c>
      <c r="E481" s="1" t="s">
        <v>637</v>
      </c>
      <c r="F481" s="1">
        <v>100</v>
      </c>
    </row>
    <row r="482" spans="1:6" ht="10.5">
      <c r="A482" s="1" t="s">
        <v>952</v>
      </c>
      <c r="E482" s="1" t="s">
        <v>657</v>
      </c>
      <c r="F482" s="1">
        <v>400</v>
      </c>
    </row>
    <row r="483" spans="1:6" ht="10.5">
      <c r="A483" s="1" t="s">
        <v>953</v>
      </c>
      <c r="E483" s="1" t="s">
        <v>657</v>
      </c>
      <c r="F483" s="1">
        <v>500</v>
      </c>
    </row>
    <row r="484" spans="1:6" ht="10.5">
      <c r="A484" s="1" t="s">
        <v>954</v>
      </c>
      <c r="E484" s="1" t="s">
        <v>657</v>
      </c>
      <c r="F484" s="1">
        <v>600</v>
      </c>
    </row>
    <row r="485" spans="1:6" ht="10.5">
      <c r="A485" s="1" t="s">
        <v>955</v>
      </c>
      <c r="E485" s="1" t="s">
        <v>657</v>
      </c>
      <c r="F485" s="1">
        <v>700</v>
      </c>
    </row>
    <row r="486" spans="1:6" ht="10.5">
      <c r="A486" s="1" t="s">
        <v>956</v>
      </c>
      <c r="E486" s="1" t="s">
        <v>657</v>
      </c>
      <c r="F486" s="1">
        <v>800</v>
      </c>
    </row>
    <row r="487" spans="1:6" ht="10.5">
      <c r="A487" s="1" t="s">
        <v>957</v>
      </c>
      <c r="E487" s="1" t="s">
        <v>657</v>
      </c>
      <c r="F487" s="1">
        <v>900</v>
      </c>
    </row>
    <row r="488" spans="1:6" ht="10.5">
      <c r="A488" s="1" t="s">
        <v>958</v>
      </c>
      <c r="E488" s="1" t="s">
        <v>657</v>
      </c>
      <c r="F488" s="1">
        <v>1000</v>
      </c>
    </row>
    <row r="489" spans="1:6" ht="10.5">
      <c r="A489" s="1" t="s">
        <v>959</v>
      </c>
      <c r="E489" s="1" t="s">
        <v>657</v>
      </c>
      <c r="F489" s="1">
        <v>1100</v>
      </c>
    </row>
    <row r="490" spans="1:6" ht="10.5">
      <c r="A490" s="1" t="s">
        <v>960</v>
      </c>
      <c r="E490" s="1" t="s">
        <v>657</v>
      </c>
      <c r="F490" s="1">
        <v>1200</v>
      </c>
    </row>
    <row r="491" spans="1:6" ht="10.5">
      <c r="A491" s="1" t="s">
        <v>961</v>
      </c>
      <c r="E491" s="1" t="s">
        <v>657</v>
      </c>
      <c r="F491" s="1">
        <v>1300</v>
      </c>
    </row>
    <row r="492" spans="1:6" ht="10.5">
      <c r="A492" s="1" t="s">
        <v>962</v>
      </c>
      <c r="E492" s="1" t="s">
        <v>657</v>
      </c>
      <c r="F492" s="1">
        <v>1400</v>
      </c>
    </row>
    <row r="493" spans="1:6" ht="10.5">
      <c r="A493" s="1" t="s">
        <v>963</v>
      </c>
      <c r="E493" s="1" t="s">
        <v>657</v>
      </c>
      <c r="F493" s="1">
        <v>1500</v>
      </c>
    </row>
    <row r="494" spans="1:6" ht="10.5">
      <c r="A494" s="1" t="s">
        <v>964</v>
      </c>
      <c r="E494" s="1" t="s">
        <v>850</v>
      </c>
      <c r="F494" s="1">
        <v>400</v>
      </c>
    </row>
    <row r="495" spans="1:6" ht="10.5">
      <c r="A495" s="1" t="s">
        <v>965</v>
      </c>
      <c r="E495" s="1" t="s">
        <v>850</v>
      </c>
      <c r="F495" s="1">
        <v>500</v>
      </c>
    </row>
    <row r="496" spans="1:6" ht="10.5">
      <c r="A496" s="1" t="s">
        <v>966</v>
      </c>
      <c r="E496" s="1" t="s">
        <v>850</v>
      </c>
      <c r="F496" s="1">
        <v>600</v>
      </c>
    </row>
    <row r="497" spans="1:6" ht="10.5">
      <c r="A497" s="1" t="s">
        <v>967</v>
      </c>
      <c r="E497" s="1" t="s">
        <v>850</v>
      </c>
      <c r="F497" s="1">
        <v>700</v>
      </c>
    </row>
    <row r="498" spans="1:6" ht="10.5">
      <c r="A498" s="1" t="s">
        <v>968</v>
      </c>
      <c r="E498" s="1" t="s">
        <v>850</v>
      </c>
      <c r="F498" s="1">
        <v>800</v>
      </c>
    </row>
    <row r="499" spans="1:6" ht="10.5">
      <c r="A499" s="1" t="s">
        <v>969</v>
      </c>
      <c r="E499" s="1" t="s">
        <v>850</v>
      </c>
      <c r="F499" s="1">
        <v>900</v>
      </c>
    </row>
    <row r="500" spans="1:6" ht="10.5">
      <c r="A500" s="1" t="s">
        <v>970</v>
      </c>
      <c r="E500" s="1" t="s">
        <v>850</v>
      </c>
      <c r="F500" s="1">
        <v>1000</v>
      </c>
    </row>
    <row r="501" spans="1:6" ht="10.5">
      <c r="A501" s="1" t="s">
        <v>971</v>
      </c>
      <c r="E501" s="1" t="s">
        <v>850</v>
      </c>
      <c r="F501" s="1">
        <v>1100</v>
      </c>
    </row>
    <row r="502" spans="1:6" ht="10.5">
      <c r="A502" s="1" t="s">
        <v>972</v>
      </c>
      <c r="E502" s="1" t="s">
        <v>850</v>
      </c>
      <c r="F502" s="1">
        <v>1200</v>
      </c>
    </row>
    <row r="503" spans="1:6" ht="10.5">
      <c r="A503" s="1" t="s">
        <v>973</v>
      </c>
      <c r="E503" s="1" t="s">
        <v>850</v>
      </c>
      <c r="F503" s="1">
        <v>1300</v>
      </c>
    </row>
    <row r="504" spans="1:6" ht="10.5">
      <c r="A504" s="1" t="s">
        <v>974</v>
      </c>
      <c r="E504" s="1" t="s">
        <v>850</v>
      </c>
      <c r="F504" s="1">
        <v>1400</v>
      </c>
    </row>
    <row r="505" spans="1:6" ht="10.5">
      <c r="A505" s="1" t="s">
        <v>975</v>
      </c>
      <c r="E505" s="1" t="s">
        <v>850</v>
      </c>
      <c r="F505" s="1">
        <v>1500</v>
      </c>
    </row>
    <row r="506" spans="1:6" ht="10.5">
      <c r="A506" s="1" t="s">
        <v>976</v>
      </c>
      <c r="E506" s="1" t="s">
        <v>637</v>
      </c>
      <c r="F506" s="1">
        <v>75</v>
      </c>
    </row>
    <row r="507" ht="10.5">
      <c r="A507" s="1" t="s">
        <v>977</v>
      </c>
    </row>
    <row r="508" spans="1:4" ht="10.5">
      <c r="A508" s="1" t="s">
        <v>738</v>
      </c>
      <c r="D508" s="1" t="s">
        <v>936</v>
      </c>
    </row>
    <row r="511" spans="1:4" ht="10.5">
      <c r="A511" s="4" t="s">
        <v>978</v>
      </c>
      <c r="B511" s="4" t="s">
        <v>979</v>
      </c>
      <c r="C511" s="4" t="s">
        <v>980</v>
      </c>
      <c r="D511" s="4" t="s">
        <v>981</v>
      </c>
    </row>
    <row r="512" spans="1:4" ht="10.5">
      <c r="A512" s="1">
        <v>1</v>
      </c>
      <c r="B512" s="1">
        <v>250</v>
      </c>
      <c r="C512" s="1">
        <v>10</v>
      </c>
      <c r="D512" s="1">
        <v>4</v>
      </c>
    </row>
    <row r="513" spans="1:4" ht="10.5">
      <c r="A513" s="1">
        <v>2</v>
      </c>
      <c r="B513" s="1">
        <v>750</v>
      </c>
      <c r="C513" s="1">
        <v>50</v>
      </c>
      <c r="D513" s="1">
        <v>4</v>
      </c>
    </row>
    <row r="514" spans="1:4" ht="10.5">
      <c r="A514" s="1">
        <v>3</v>
      </c>
      <c r="B514" s="1">
        <v>1250</v>
      </c>
      <c r="C514" s="1">
        <v>150</v>
      </c>
      <c r="D514" s="1">
        <v>8</v>
      </c>
    </row>
    <row r="515" spans="1:4" ht="10.5">
      <c r="A515" s="1">
        <v>4</v>
      </c>
      <c r="B515" s="1">
        <v>2000</v>
      </c>
      <c r="C515" s="1">
        <v>500</v>
      </c>
      <c r="D515" s="1">
        <v>8</v>
      </c>
    </row>
    <row r="516" spans="1:4" ht="10.5">
      <c r="A516" s="1">
        <v>5</v>
      </c>
      <c r="B516" s="1">
        <v>4000</v>
      </c>
      <c r="C516" s="1">
        <v>1000</v>
      </c>
      <c r="D516" s="1">
        <v>12</v>
      </c>
    </row>
    <row r="517" spans="1:4" ht="10.5">
      <c r="A517" s="1">
        <v>6</v>
      </c>
      <c r="B517" s="1">
        <v>8000</v>
      </c>
      <c r="C517" s="1">
        <v>3000</v>
      </c>
      <c r="D517" s="1">
        <v>16</v>
      </c>
    </row>
    <row r="519" spans="1:5" ht="10.5">
      <c r="A519" s="4" t="s">
        <v>982</v>
      </c>
      <c r="B519" s="4" t="s">
        <v>983</v>
      </c>
      <c r="C519" s="4" t="s">
        <v>190</v>
      </c>
      <c r="D519" s="4" t="s">
        <v>675</v>
      </c>
      <c r="E519" s="4" t="s">
        <v>5</v>
      </c>
    </row>
    <row r="520" spans="1:5" ht="10.5">
      <c r="A520" s="1" t="s">
        <v>984</v>
      </c>
      <c r="B520" s="1">
        <v>5</v>
      </c>
      <c r="C520" s="1">
        <v>3</v>
      </c>
      <c r="D520" s="1">
        <v>8</v>
      </c>
      <c r="E520" s="1">
        <v>1500</v>
      </c>
    </row>
    <row r="521" spans="1:5" ht="10.5">
      <c r="A521" s="1" t="s">
        <v>985</v>
      </c>
      <c r="B521" s="1">
        <v>4</v>
      </c>
      <c r="C521" s="1">
        <v>0</v>
      </c>
      <c r="D521" s="1">
        <v>2</v>
      </c>
      <c r="E521" s="1">
        <v>500</v>
      </c>
    </row>
    <row r="522" spans="1:5" ht="10.5">
      <c r="A522" s="1" t="s">
        <v>191</v>
      </c>
      <c r="B522" s="1">
        <v>8</v>
      </c>
      <c r="C522" s="1">
        <v>6</v>
      </c>
      <c r="D522" s="1">
        <v>2</v>
      </c>
      <c r="E522" s="1">
        <v>900</v>
      </c>
    </row>
    <row r="523" spans="1:5" ht="10.5">
      <c r="A523" s="1" t="s">
        <v>986</v>
      </c>
      <c r="B523" s="1">
        <v>6</v>
      </c>
      <c r="C523" s="1">
        <v>4</v>
      </c>
      <c r="D523" s="1">
        <v>4</v>
      </c>
      <c r="E523" s="1">
        <v>600</v>
      </c>
    </row>
    <row r="524" spans="1:5" ht="10.5">
      <c r="A524" s="1" t="s">
        <v>987</v>
      </c>
      <c r="B524" s="1">
        <v>8</v>
      </c>
      <c r="C524" s="1">
        <v>6</v>
      </c>
      <c r="D524" s="1">
        <v>4</v>
      </c>
      <c r="E524" s="1">
        <v>1200</v>
      </c>
    </row>
    <row r="525" spans="1:5" ht="10.5">
      <c r="A525" s="1" t="s">
        <v>988</v>
      </c>
      <c r="B525" s="1">
        <v>6</v>
      </c>
      <c r="C525" s="1">
        <v>4</v>
      </c>
      <c r="D525" s="1" t="s">
        <v>764</v>
      </c>
      <c r="E525" s="1">
        <v>8000</v>
      </c>
    </row>
    <row r="526" spans="1:5" ht="10.5">
      <c r="A526" s="1" t="s">
        <v>989</v>
      </c>
      <c r="B526" s="1">
        <v>10</v>
      </c>
      <c r="C526" s="1">
        <v>8</v>
      </c>
      <c r="D526" s="1" t="s">
        <v>990</v>
      </c>
      <c r="E526" s="1">
        <v>6000</v>
      </c>
    </row>
    <row r="527" spans="1:5" ht="10.5">
      <c r="A527" s="1" t="s">
        <v>991</v>
      </c>
      <c r="B527" s="1">
        <v>12</v>
      </c>
      <c r="C527" s="1">
        <v>10</v>
      </c>
      <c r="D527" s="1" t="s">
        <v>990</v>
      </c>
      <c r="E527" s="1">
        <v>7000</v>
      </c>
    </row>
    <row r="528" spans="1:5" ht="10.5">
      <c r="A528" s="1" t="s">
        <v>992</v>
      </c>
      <c r="B528" s="1">
        <v>2</v>
      </c>
      <c r="C528" s="1">
        <v>2</v>
      </c>
      <c r="E528" s="1">
        <v>200</v>
      </c>
    </row>
    <row r="529" spans="1:5" ht="10.5">
      <c r="A529" s="1" t="s">
        <v>993</v>
      </c>
      <c r="B529" s="1">
        <v>6</v>
      </c>
      <c r="C529" s="1">
        <v>4</v>
      </c>
      <c r="D529" s="1">
        <v>2</v>
      </c>
      <c r="E529" s="1">
        <v>700</v>
      </c>
    </row>
    <row r="530" spans="1:5" ht="10.5">
      <c r="A530" s="1" t="s">
        <v>994</v>
      </c>
      <c r="B530" s="1">
        <v>6</v>
      </c>
      <c r="C530" s="1">
        <v>6</v>
      </c>
      <c r="D530" s="1">
        <v>8</v>
      </c>
      <c r="E530" s="1">
        <v>500</v>
      </c>
    </row>
    <row r="531" spans="1:5" ht="10.5">
      <c r="A531" s="1" t="s">
        <v>995</v>
      </c>
      <c r="B531" s="1">
        <v>6</v>
      </c>
      <c r="C531" s="1">
        <v>8</v>
      </c>
      <c r="D531" s="1">
        <v>8</v>
      </c>
      <c r="E531" s="1">
        <v>550</v>
      </c>
    </row>
    <row r="533" spans="1:3" ht="10.5">
      <c r="A533" s="1" t="s">
        <v>996</v>
      </c>
      <c r="B533" s="1" t="s">
        <v>997</v>
      </c>
      <c r="C533" s="1" t="s">
        <v>998</v>
      </c>
    </row>
    <row r="534" spans="2:3" ht="10.5">
      <c r="B534" s="1">
        <f>MAX(WornArmorBall,WornArmorImp)</f>
        <v>8</v>
      </c>
      <c r="C534" s="1">
        <f>MIN(ROUNDDOWN((StatBodyFinal*2-B534)/2,0),0)</f>
        <v>0</v>
      </c>
    </row>
    <row r="537" spans="1:3" ht="10.5">
      <c r="A537" s="4" t="s">
        <v>233</v>
      </c>
      <c r="B537" s="4" t="s">
        <v>999</v>
      </c>
      <c r="C537" s="4" t="s">
        <v>1000</v>
      </c>
    </row>
    <row r="538" spans="1:3" ht="10.5">
      <c r="A538" s="1" t="s">
        <v>1001</v>
      </c>
      <c r="B538" s="1">
        <v>4</v>
      </c>
      <c r="C538" s="1">
        <v>15000</v>
      </c>
    </row>
    <row r="539" spans="1:3" ht="10.5">
      <c r="A539" s="1" t="s">
        <v>1002</v>
      </c>
      <c r="B539" s="1">
        <v>4</v>
      </c>
      <c r="C539" s="1">
        <v>5000</v>
      </c>
    </row>
    <row r="540" spans="1:3" ht="10.5">
      <c r="A540" s="1" t="s">
        <v>1003</v>
      </c>
      <c r="B540" s="1">
        <v>4</v>
      </c>
      <c r="C540" s="1">
        <v>10000</v>
      </c>
    </row>
    <row r="541" spans="1:3" ht="10.5">
      <c r="A541" s="1" t="s">
        <v>1004</v>
      </c>
      <c r="B541" s="1">
        <v>4</v>
      </c>
      <c r="C541" s="1">
        <v>15000</v>
      </c>
    </row>
    <row r="542" spans="1:3" ht="10.5">
      <c r="A542" s="1" t="s">
        <v>1005</v>
      </c>
      <c r="B542" s="1">
        <v>4</v>
      </c>
      <c r="C542" s="1">
        <v>5000</v>
      </c>
    </row>
    <row r="543" spans="1:3" ht="10.5">
      <c r="A543" s="1" t="s">
        <v>1006</v>
      </c>
      <c r="B543" s="1">
        <v>4</v>
      </c>
      <c r="C543" s="1">
        <v>10000</v>
      </c>
    </row>
    <row r="544" spans="1:3" ht="10.5">
      <c r="A544" s="1" t="s">
        <v>1007</v>
      </c>
      <c r="B544" s="1">
        <v>5</v>
      </c>
      <c r="C544" s="1">
        <v>10000</v>
      </c>
    </row>
    <row r="545" spans="1:3" ht="10.5">
      <c r="A545" s="1" t="s">
        <v>1008</v>
      </c>
      <c r="B545" s="1">
        <v>4</v>
      </c>
      <c r="C545" s="1">
        <v>25000</v>
      </c>
    </row>
    <row r="547" spans="1:3" ht="10.5">
      <c r="A547" s="4" t="s">
        <v>1009</v>
      </c>
      <c r="B547" s="4" t="s">
        <v>1010</v>
      </c>
      <c r="C547" s="4" t="s">
        <v>235</v>
      </c>
    </row>
    <row r="548" spans="1:31" ht="10.5">
      <c r="A548" s="1">
        <f>Sheet1!E243</f>
        <v>0</v>
      </c>
      <c r="B548" s="1">
        <f>Sheet1!F243</f>
        <v>0</v>
      </c>
      <c r="C548" s="1" t="str">
        <f>Sheet1!J243</f>
        <v>No</v>
      </c>
      <c r="AC548" s="1">
        <f>IF(A548=0,"",CONCATENATE(A548,CHAR(10)))</f>
      </c>
      <c r="AD548" s="1">
        <f>IF(B548=0,"",CONCATENATE(B548,CHAR(10)))</f>
      </c>
      <c r="AE548" s="1">
        <f>IF(A548=0,"",CONCATENATE(C548,CHAR(10)))</f>
      </c>
    </row>
    <row r="549" spans="1:31" ht="10.5">
      <c r="A549" s="1">
        <f>Sheet1!E244</f>
        <v>0</v>
      </c>
      <c r="B549" s="1">
        <f>Sheet1!F244</f>
        <v>0</v>
      </c>
      <c r="C549" s="1" t="str">
        <f>Sheet1!J244</f>
        <v>No</v>
      </c>
      <c r="AC549" s="1">
        <f>IF(A549=0,"",CONCATENATE(A549,CHAR(10)))</f>
      </c>
      <c r="AD549" s="1">
        <f>IF(B549=0,"",CONCATENATE(B549,CHAR(10)))</f>
      </c>
      <c r="AE549" s="1">
        <f>IF(A549=0,"",CONCATENATE(C549,CHAR(10)))</f>
      </c>
    </row>
    <row r="550" spans="1:31" ht="10.5">
      <c r="A550" s="1">
        <f>Sheet1!E245</f>
        <v>0</v>
      </c>
      <c r="B550" s="1">
        <f>Sheet1!F245</f>
        <v>0</v>
      </c>
      <c r="C550" s="1" t="str">
        <f>Sheet1!J245</f>
        <v>No</v>
      </c>
      <c r="AC550" s="1">
        <f>IF(A550=0,"",CONCATENATE(A550,CHAR(10)))</f>
      </c>
      <c r="AD550" s="1">
        <f>IF(B550=0,"",CONCATENATE(B550,CHAR(10)))</f>
      </c>
      <c r="AE550" s="1">
        <f>IF(A550=0,"",CONCATENATE(C550,CHAR(10)))</f>
      </c>
    </row>
    <row r="551" spans="1:31" ht="10.5">
      <c r="A551" s="1">
        <f>Sheet1!E246</f>
        <v>0</v>
      </c>
      <c r="B551" s="1">
        <f>Sheet1!F246</f>
        <v>0</v>
      </c>
      <c r="C551" s="1" t="str">
        <f>Sheet1!J246</f>
        <v>No</v>
      </c>
      <c r="AC551" s="1">
        <f>IF(A551=0,"",CONCATENATE(A551,CHAR(10)))</f>
      </c>
      <c r="AD551" s="1">
        <f>IF(B551=0,"",CONCATENATE(B551,CHAR(10)))</f>
      </c>
      <c r="AE551" s="1">
        <f>IF(A551=0,"",CONCATENATE(C551,CHAR(10)))</f>
      </c>
    </row>
    <row r="552" spans="1:31" ht="10.5">
      <c r="A552" s="1">
        <f>Sheet1!E247</f>
        <v>0</v>
      </c>
      <c r="B552" s="1">
        <f>Sheet1!F247</f>
        <v>0</v>
      </c>
      <c r="C552" s="1" t="str">
        <f>Sheet1!J247</f>
        <v>No</v>
      </c>
      <c r="AC552" s="1">
        <f>IF(A552=0,"",CONCATENATE(A552,CHAR(10)))</f>
      </c>
      <c r="AD552" s="1">
        <f>IF(B552=0,"",CONCATENATE(B552,CHAR(10)))</f>
      </c>
      <c r="AE552" s="1">
        <f>IF(A552=0,"",CONCATENATE(C552,CHAR(10)))</f>
      </c>
    </row>
    <row r="553" spans="1:31" ht="10.5">
      <c r="A553" s="1">
        <f>Sheet1!E248</f>
        <v>0</v>
      </c>
      <c r="B553" s="1">
        <f>Sheet1!F248</f>
        <v>0</v>
      </c>
      <c r="C553" s="1" t="str">
        <f>Sheet1!J248</f>
        <v>No</v>
      </c>
      <c r="AC553" s="1">
        <f>IF(A553=0,"",CONCATENATE(A553,CHAR(10)))</f>
      </c>
      <c r="AD553" s="1">
        <f>IF(B553=0,"",CONCATENATE(B553,CHAR(10)))</f>
      </c>
      <c r="AE553" s="1">
        <f>IF(A553=0,"",CONCATENATE(C553,CHAR(10)))</f>
      </c>
    </row>
    <row r="555" spans="1:3" ht="10.5">
      <c r="A555" s="1">
        <f>CONCATENATE(AC548,AC549,AC550,AC551,AC552,AC553)</f>
      </c>
      <c r="B555" s="1">
        <f>CONCATENATE(AD548,AD549,AD550,AD551,AD552,AD553)</f>
      </c>
      <c r="C555" s="1">
        <f>CONCATENATE(AE548,AE549,AE550,AE551,AE552,AE553)</f>
      </c>
    </row>
    <row r="557" spans="1:3" ht="10.5">
      <c r="A557" s="4" t="s">
        <v>1011</v>
      </c>
      <c r="B557" s="4" t="s">
        <v>675</v>
      </c>
      <c r="C557" s="4" t="s">
        <v>5</v>
      </c>
    </row>
    <row r="558" spans="1:3" ht="10.5">
      <c r="A558" s="1" t="s">
        <v>1012</v>
      </c>
      <c r="C558" s="63"/>
    </row>
    <row r="559" spans="1:3" ht="10.5">
      <c r="A559" s="1" t="s">
        <v>1013</v>
      </c>
      <c r="C559" s="63">
        <v>200</v>
      </c>
    </row>
    <row r="560" spans="1:3" ht="10.5">
      <c r="A560" s="1" t="s">
        <v>1014</v>
      </c>
      <c r="B560" s="1">
        <v>8</v>
      </c>
      <c r="C560" s="1">
        <v>1500</v>
      </c>
    </row>
    <row r="561" spans="1:3" ht="10.5">
      <c r="A561" s="1" t="s">
        <v>1015</v>
      </c>
      <c r="B561" s="1">
        <v>2</v>
      </c>
      <c r="C561" s="1">
        <v>500</v>
      </c>
    </row>
    <row r="562" spans="1:3" ht="10.5">
      <c r="A562" s="1" t="s">
        <v>1016</v>
      </c>
      <c r="B562" s="1">
        <v>2</v>
      </c>
      <c r="C562" s="1">
        <v>900</v>
      </c>
    </row>
    <row r="563" spans="1:3" ht="10.5">
      <c r="A563" s="1" t="s">
        <v>1017</v>
      </c>
      <c r="B563" s="1">
        <v>4</v>
      </c>
      <c r="C563" s="1">
        <v>600</v>
      </c>
    </row>
    <row r="564" spans="1:3" ht="10.5">
      <c r="A564" s="1" t="s">
        <v>1018</v>
      </c>
      <c r="B564" s="1">
        <v>4</v>
      </c>
      <c r="C564" s="1">
        <v>1200</v>
      </c>
    </row>
    <row r="565" spans="1:3" ht="10.5">
      <c r="A565" s="1" t="s">
        <v>1019</v>
      </c>
      <c r="B565" s="1" t="s">
        <v>764</v>
      </c>
      <c r="C565" s="1">
        <v>8000</v>
      </c>
    </row>
    <row r="566" spans="1:3" ht="10.5">
      <c r="A566" s="1" t="s">
        <v>1020</v>
      </c>
      <c r="B566" s="1" t="s">
        <v>990</v>
      </c>
      <c r="C566" s="1">
        <v>6000</v>
      </c>
    </row>
    <row r="567" spans="1:3" ht="10.5">
      <c r="A567" s="1" t="s">
        <v>1021</v>
      </c>
      <c r="B567" s="1" t="s">
        <v>990</v>
      </c>
      <c r="C567" s="1">
        <v>7000</v>
      </c>
    </row>
    <row r="568" spans="1:3" ht="10.5">
      <c r="A568" s="1" t="s">
        <v>1022</v>
      </c>
      <c r="B568" s="1">
        <v>2</v>
      </c>
      <c r="C568" s="1">
        <v>700</v>
      </c>
    </row>
    <row r="569" spans="1:3" ht="10.5">
      <c r="A569" s="1" t="s">
        <v>1023</v>
      </c>
      <c r="B569" s="1">
        <v>8</v>
      </c>
      <c r="C569" s="1">
        <v>500</v>
      </c>
    </row>
    <row r="570" spans="1:3" ht="10.5">
      <c r="A570" s="1" t="s">
        <v>1024</v>
      </c>
      <c r="B570" s="1">
        <v>8</v>
      </c>
      <c r="C570" s="1">
        <v>550</v>
      </c>
    </row>
    <row r="571" ht="10.5">
      <c r="A571" s="1" t="s">
        <v>1025</v>
      </c>
    </row>
    <row r="572" spans="1:3" ht="10.5">
      <c r="A572" s="1" t="s">
        <v>1026</v>
      </c>
      <c r="B572" s="1">
        <v>2</v>
      </c>
      <c r="C572" s="1">
        <v>100</v>
      </c>
    </row>
    <row r="573" spans="1:3" ht="10.5">
      <c r="A573" s="1" t="s">
        <v>1027</v>
      </c>
      <c r="B573" s="1" t="s">
        <v>847</v>
      </c>
      <c r="C573" s="1">
        <v>1500</v>
      </c>
    </row>
    <row r="574" spans="1:3" ht="10.5">
      <c r="A574" s="1" t="s">
        <v>1028</v>
      </c>
      <c r="B574" s="1" t="s">
        <v>639</v>
      </c>
      <c r="C574" s="1">
        <v>200</v>
      </c>
    </row>
    <row r="575" spans="1:3" ht="10.5">
      <c r="A575" s="1" t="s">
        <v>1029</v>
      </c>
      <c r="B575" s="1" t="s">
        <v>764</v>
      </c>
      <c r="C575" s="1">
        <v>750</v>
      </c>
    </row>
    <row r="576" ht="10.5">
      <c r="A576" s="1" t="s">
        <v>1030</v>
      </c>
    </row>
    <row r="577" spans="1:3" ht="10.5">
      <c r="A577" s="1" t="s">
        <v>1031</v>
      </c>
      <c r="C577" s="1">
        <v>250</v>
      </c>
    </row>
    <row r="578" spans="1:3" ht="10.5">
      <c r="A578" s="1" t="s">
        <v>1032</v>
      </c>
      <c r="B578" s="1">
        <v>4</v>
      </c>
      <c r="C578" s="1">
        <v>200</v>
      </c>
    </row>
    <row r="579" spans="1:3" ht="10.5">
      <c r="A579" s="1" t="s">
        <v>1033</v>
      </c>
      <c r="B579" s="1">
        <v>2</v>
      </c>
      <c r="C579" s="1">
        <v>100</v>
      </c>
    </row>
    <row r="580" spans="1:3" ht="10.5">
      <c r="A580" s="1" t="s">
        <v>1034</v>
      </c>
      <c r="C580" s="1">
        <v>5</v>
      </c>
    </row>
    <row r="581" spans="1:3" ht="10.5">
      <c r="A581" s="1" t="s">
        <v>1035</v>
      </c>
      <c r="B581" s="1">
        <v>4</v>
      </c>
      <c r="C581" s="1">
        <v>500</v>
      </c>
    </row>
    <row r="582" spans="1:3" ht="10.5">
      <c r="A582" s="1" t="s">
        <v>1036</v>
      </c>
      <c r="C582" s="1">
        <v>100</v>
      </c>
    </row>
    <row r="583" spans="1:3" ht="10.5">
      <c r="A583" s="1" t="s">
        <v>1037</v>
      </c>
      <c r="B583" s="1" t="s">
        <v>1038</v>
      </c>
      <c r="C583" s="1">
        <v>250</v>
      </c>
    </row>
    <row r="584" spans="1:3" ht="10.5">
      <c r="A584" s="1" t="s">
        <v>1039</v>
      </c>
      <c r="B584" s="1">
        <v>12</v>
      </c>
      <c r="C584" s="1">
        <v>1000</v>
      </c>
    </row>
    <row r="585" spans="1:3" ht="10.5">
      <c r="A585" s="1" t="s">
        <v>1040</v>
      </c>
      <c r="B585" s="1">
        <v>6</v>
      </c>
      <c r="C585" s="1">
        <v>50</v>
      </c>
    </row>
    <row r="586" spans="1:3" ht="10.5">
      <c r="A586" s="1" t="s">
        <v>210</v>
      </c>
      <c r="B586" s="1">
        <v>6</v>
      </c>
      <c r="C586" s="1">
        <v>50</v>
      </c>
    </row>
    <row r="587" spans="1:3" ht="10.5">
      <c r="A587" s="1" t="s">
        <v>1041</v>
      </c>
      <c r="C587" s="1">
        <v>50</v>
      </c>
    </row>
    <row r="588" ht="10.5">
      <c r="A588" s="1" t="s">
        <v>1042</v>
      </c>
    </row>
    <row r="589" spans="1:3" ht="10.5">
      <c r="A589" s="1" t="s">
        <v>1043</v>
      </c>
      <c r="C589" s="1">
        <v>20</v>
      </c>
    </row>
    <row r="590" spans="1:3" ht="10.5">
      <c r="A590" s="1" t="s">
        <v>1044</v>
      </c>
      <c r="C590" s="1">
        <v>200</v>
      </c>
    </row>
    <row r="591" ht="10.5">
      <c r="A591" s="1" t="s">
        <v>1045</v>
      </c>
    </row>
    <row r="592" spans="1:3" ht="10.5">
      <c r="A592" s="1" t="s">
        <v>1046</v>
      </c>
      <c r="C592" s="1">
        <v>1</v>
      </c>
    </row>
    <row r="593" spans="1:3" ht="10.5">
      <c r="A593" s="1" t="s">
        <v>1047</v>
      </c>
      <c r="B593" s="1">
        <v>4</v>
      </c>
      <c r="C593" s="1">
        <v>100</v>
      </c>
    </row>
    <row r="594" spans="1:3" ht="10.5">
      <c r="A594" s="1" t="s">
        <v>1048</v>
      </c>
      <c r="B594" s="1">
        <v>6</v>
      </c>
      <c r="C594" s="1">
        <v>5</v>
      </c>
    </row>
    <row r="595" spans="1:3" ht="10.5">
      <c r="A595" s="1" t="s">
        <v>1049</v>
      </c>
      <c r="C595" s="63"/>
    </row>
    <row r="596" spans="1:3" ht="10.5">
      <c r="A596" s="1" t="s">
        <v>1050</v>
      </c>
      <c r="B596" s="1" t="s">
        <v>639</v>
      </c>
      <c r="C596" s="63">
        <v>250</v>
      </c>
    </row>
    <row r="597" spans="1:3" ht="10.5">
      <c r="A597" s="1" t="s">
        <v>1051</v>
      </c>
      <c r="B597" s="1" t="s">
        <v>639</v>
      </c>
      <c r="C597" s="63">
        <v>500</v>
      </c>
    </row>
    <row r="598" spans="1:3" ht="10.5">
      <c r="A598" s="1" t="s">
        <v>1052</v>
      </c>
      <c r="B598" s="1" t="s">
        <v>639</v>
      </c>
      <c r="C598" s="63">
        <v>750</v>
      </c>
    </row>
    <row r="599" spans="1:3" ht="10.5">
      <c r="A599" s="1" t="s">
        <v>1053</v>
      </c>
      <c r="B599" s="1" t="s">
        <v>639</v>
      </c>
      <c r="C599" s="63">
        <v>1000</v>
      </c>
    </row>
    <row r="600" spans="1:3" ht="10.5">
      <c r="A600" s="1" t="s">
        <v>1054</v>
      </c>
      <c r="B600" s="1" t="s">
        <v>639</v>
      </c>
      <c r="C600" s="63">
        <v>1250</v>
      </c>
    </row>
    <row r="601" spans="1:3" ht="10.5">
      <c r="A601" s="1" t="s">
        <v>1055</v>
      </c>
      <c r="B601" s="1" t="s">
        <v>639</v>
      </c>
      <c r="C601" s="63">
        <v>1500</v>
      </c>
    </row>
    <row r="602" spans="1:3" ht="10.5">
      <c r="A602" s="1" t="s">
        <v>1056</v>
      </c>
      <c r="B602" s="1" t="s">
        <v>1057</v>
      </c>
      <c r="C602" s="63">
        <v>500</v>
      </c>
    </row>
    <row r="603" spans="1:3" ht="10.5">
      <c r="A603" s="1" t="s">
        <v>1058</v>
      </c>
      <c r="B603" s="1" t="s">
        <v>1059</v>
      </c>
      <c r="C603" s="63">
        <v>1000</v>
      </c>
    </row>
    <row r="604" spans="1:3" ht="10.5">
      <c r="A604" s="1" t="s">
        <v>1060</v>
      </c>
      <c r="B604" s="1" t="s">
        <v>1061</v>
      </c>
      <c r="C604" s="63">
        <v>1500</v>
      </c>
    </row>
    <row r="605" spans="1:3" ht="10.5">
      <c r="A605" s="1" t="s">
        <v>1062</v>
      </c>
      <c r="B605" s="1" t="s">
        <v>657</v>
      </c>
      <c r="C605" s="63">
        <v>2000</v>
      </c>
    </row>
    <row r="606" spans="1:3" ht="10.5">
      <c r="A606" s="1" t="s">
        <v>1063</v>
      </c>
      <c r="B606" s="1" t="s">
        <v>818</v>
      </c>
      <c r="C606" s="63">
        <v>2500</v>
      </c>
    </row>
    <row r="607" spans="1:3" ht="10.5">
      <c r="A607" s="1" t="s">
        <v>1064</v>
      </c>
      <c r="B607" s="1" t="s">
        <v>1065</v>
      </c>
      <c r="C607" s="63">
        <v>3000</v>
      </c>
    </row>
    <row r="608" spans="1:3" ht="10.5">
      <c r="A608" s="1" t="s">
        <v>1066</v>
      </c>
      <c r="B608" s="1" t="s">
        <v>1067</v>
      </c>
      <c r="C608" s="63">
        <v>3500</v>
      </c>
    </row>
    <row r="609" spans="1:3" ht="10.5">
      <c r="A609" s="1" t="s">
        <v>1068</v>
      </c>
      <c r="B609" s="1" t="s">
        <v>1069</v>
      </c>
      <c r="C609" s="63">
        <v>4000</v>
      </c>
    </row>
    <row r="610" spans="1:3" ht="10.5">
      <c r="A610" s="1" t="s">
        <v>1070</v>
      </c>
      <c r="B610" s="1" t="s">
        <v>1071</v>
      </c>
      <c r="C610" s="63">
        <v>4500</v>
      </c>
    </row>
    <row r="611" spans="1:3" ht="10.5">
      <c r="A611" s="1" t="s">
        <v>1072</v>
      </c>
      <c r="B611" s="1" t="s">
        <v>1073</v>
      </c>
      <c r="C611" s="63">
        <v>5000</v>
      </c>
    </row>
    <row r="612" spans="1:3" ht="10.5">
      <c r="A612" s="1" t="s">
        <v>1074</v>
      </c>
      <c r="B612" s="1" t="s">
        <v>1075</v>
      </c>
      <c r="C612" s="63">
        <v>500</v>
      </c>
    </row>
    <row r="613" spans="1:3" ht="10.5">
      <c r="A613" s="1" t="s">
        <v>1076</v>
      </c>
      <c r="B613" s="1" t="s">
        <v>1038</v>
      </c>
      <c r="C613" s="63">
        <v>1000</v>
      </c>
    </row>
    <row r="614" spans="1:3" ht="10.5">
      <c r="A614" s="1" t="s">
        <v>1077</v>
      </c>
      <c r="B614" s="1" t="s">
        <v>1059</v>
      </c>
      <c r="C614" s="63">
        <v>1500</v>
      </c>
    </row>
    <row r="615" spans="1:3" ht="10.5">
      <c r="A615" s="1" t="s">
        <v>1078</v>
      </c>
      <c r="B615" s="1" t="s">
        <v>884</v>
      </c>
      <c r="C615" s="63">
        <v>2000</v>
      </c>
    </row>
    <row r="616" spans="1:3" ht="10.5">
      <c r="A616" s="1" t="s">
        <v>1079</v>
      </c>
      <c r="B616" s="1" t="s">
        <v>853</v>
      </c>
      <c r="C616" s="63">
        <v>2500</v>
      </c>
    </row>
    <row r="617" spans="1:3" ht="10.5">
      <c r="A617" s="1" t="s">
        <v>1080</v>
      </c>
      <c r="B617" s="1" t="s">
        <v>657</v>
      </c>
      <c r="C617" s="63">
        <v>3000</v>
      </c>
    </row>
    <row r="618" spans="1:3" ht="10.5">
      <c r="A618" s="1" t="s">
        <v>1081</v>
      </c>
      <c r="B618" s="1" t="s">
        <v>1082</v>
      </c>
      <c r="C618" s="63">
        <v>3500</v>
      </c>
    </row>
    <row r="619" spans="1:3" ht="10.5">
      <c r="A619" s="1" t="s">
        <v>1083</v>
      </c>
      <c r="B619" s="1" t="s">
        <v>850</v>
      </c>
      <c r="C619" s="63">
        <v>4000</v>
      </c>
    </row>
    <row r="620" spans="1:3" ht="10.5">
      <c r="A620" s="1" t="s">
        <v>1084</v>
      </c>
      <c r="B620" s="1" t="s">
        <v>1065</v>
      </c>
      <c r="C620" s="63">
        <v>4500</v>
      </c>
    </row>
    <row r="621" spans="1:3" ht="10.5">
      <c r="A621" s="1" t="s">
        <v>1085</v>
      </c>
      <c r="B621" s="1" t="s">
        <v>881</v>
      </c>
      <c r="C621" s="63">
        <v>5000</v>
      </c>
    </row>
    <row r="622" spans="1:3" ht="10.5">
      <c r="A622" s="1" t="s">
        <v>1086</v>
      </c>
      <c r="B622" s="1">
        <v>2</v>
      </c>
      <c r="C622" s="63">
        <v>200</v>
      </c>
    </row>
    <row r="623" spans="1:3" ht="10.5">
      <c r="A623" s="1" t="s">
        <v>1087</v>
      </c>
      <c r="B623" s="1">
        <v>4</v>
      </c>
      <c r="C623" s="63">
        <v>400</v>
      </c>
    </row>
    <row r="624" spans="1:3" ht="10.5">
      <c r="A624" s="1" t="s">
        <v>1088</v>
      </c>
      <c r="B624" s="1">
        <v>6</v>
      </c>
      <c r="C624" s="63">
        <v>600</v>
      </c>
    </row>
    <row r="625" spans="1:3" ht="10.5">
      <c r="A625" s="1" t="s">
        <v>1089</v>
      </c>
      <c r="B625" s="1">
        <v>8</v>
      </c>
      <c r="C625" s="63">
        <v>800</v>
      </c>
    </row>
    <row r="626" spans="1:3" ht="10.5">
      <c r="A626" s="1" t="s">
        <v>1090</v>
      </c>
      <c r="B626" s="1">
        <v>10</v>
      </c>
      <c r="C626" s="63">
        <v>1000</v>
      </c>
    </row>
    <row r="627" spans="1:3" ht="10.5">
      <c r="A627" s="1" t="s">
        <v>1091</v>
      </c>
      <c r="B627" s="1">
        <v>12</v>
      </c>
      <c r="C627" s="63">
        <v>1200</v>
      </c>
    </row>
    <row r="628" spans="1:3" ht="10.5">
      <c r="A628" s="1" t="s">
        <v>1092</v>
      </c>
      <c r="B628" s="1" t="s">
        <v>1059</v>
      </c>
      <c r="C628" s="63">
        <v>150</v>
      </c>
    </row>
    <row r="629" spans="1:3" ht="10.5">
      <c r="A629" s="1" t="s">
        <v>1093</v>
      </c>
      <c r="B629" s="1">
        <v>2</v>
      </c>
      <c r="C629" s="63">
        <v>50</v>
      </c>
    </row>
    <row r="630" spans="1:3" ht="10.5">
      <c r="A630" s="1" t="s">
        <v>1094</v>
      </c>
      <c r="B630" s="1">
        <v>3</v>
      </c>
      <c r="C630" s="63">
        <v>100</v>
      </c>
    </row>
    <row r="631" spans="1:3" ht="10.5">
      <c r="A631" s="1" t="s">
        <v>1095</v>
      </c>
      <c r="B631" s="1">
        <v>4</v>
      </c>
      <c r="C631" s="63">
        <v>150</v>
      </c>
    </row>
    <row r="632" spans="1:3" ht="10.5">
      <c r="A632" s="1" t="s">
        <v>1096</v>
      </c>
      <c r="B632" s="1">
        <v>5</v>
      </c>
      <c r="C632" s="63">
        <v>200</v>
      </c>
    </row>
    <row r="633" spans="1:3" ht="10.5">
      <c r="A633" s="1" t="s">
        <v>1097</v>
      </c>
      <c r="B633" s="1">
        <v>6</v>
      </c>
      <c r="C633" s="63">
        <v>250</v>
      </c>
    </row>
    <row r="634" spans="1:3" ht="10.5">
      <c r="A634" s="1" t="s">
        <v>1098</v>
      </c>
      <c r="B634" s="1">
        <v>7</v>
      </c>
      <c r="C634" s="63">
        <v>300</v>
      </c>
    </row>
    <row r="635" spans="1:3" ht="10.5">
      <c r="A635" s="1" t="s">
        <v>1099</v>
      </c>
      <c r="C635" s="63"/>
    </row>
    <row r="636" spans="1:3" ht="10.5">
      <c r="A636" s="1" t="s">
        <v>1100</v>
      </c>
      <c r="B636" s="1">
        <v>8</v>
      </c>
      <c r="C636" s="63">
        <v>3000</v>
      </c>
    </row>
    <row r="637" spans="1:3" ht="10.5">
      <c r="A637" s="1" t="s">
        <v>1101</v>
      </c>
      <c r="B637" s="1">
        <v>8</v>
      </c>
      <c r="C637" s="63">
        <v>6000</v>
      </c>
    </row>
    <row r="638" spans="1:3" ht="10.5">
      <c r="A638" s="1" t="s">
        <v>206</v>
      </c>
      <c r="B638" s="1">
        <v>8</v>
      </c>
      <c r="C638" s="63">
        <v>9000</v>
      </c>
    </row>
    <row r="639" spans="1:3" ht="10.5">
      <c r="A639" s="1" t="s">
        <v>204</v>
      </c>
      <c r="B639" s="1">
        <v>8</v>
      </c>
      <c r="C639" s="63">
        <v>12000</v>
      </c>
    </row>
    <row r="640" spans="1:3" ht="10.5">
      <c r="A640" s="1" t="s">
        <v>1102</v>
      </c>
      <c r="B640" s="1">
        <v>4</v>
      </c>
      <c r="C640" s="63">
        <v>1000</v>
      </c>
    </row>
    <row r="641" spans="1:3" ht="10.5">
      <c r="A641" s="1" t="s">
        <v>1103</v>
      </c>
      <c r="B641" s="1">
        <v>4</v>
      </c>
      <c r="C641" s="63">
        <v>2000</v>
      </c>
    </row>
    <row r="642" spans="1:3" ht="10.5">
      <c r="A642" s="1" t="s">
        <v>1104</v>
      </c>
      <c r="B642" s="1">
        <v>4</v>
      </c>
      <c r="C642" s="63">
        <v>3000</v>
      </c>
    </row>
    <row r="643" spans="1:3" ht="10.5">
      <c r="A643" s="1" t="s">
        <v>1105</v>
      </c>
      <c r="B643" s="1">
        <v>4</v>
      </c>
      <c r="C643" s="63">
        <v>4000</v>
      </c>
    </row>
    <row r="644" spans="1:3" ht="10.5">
      <c r="A644" s="1" t="s">
        <v>208</v>
      </c>
      <c r="B644" s="1">
        <v>4</v>
      </c>
      <c r="C644" s="63">
        <v>5000</v>
      </c>
    </row>
    <row r="645" spans="1:3" ht="10.5">
      <c r="A645" s="1" t="s">
        <v>1106</v>
      </c>
      <c r="B645" s="1">
        <v>2</v>
      </c>
      <c r="C645" s="63">
        <v>500</v>
      </c>
    </row>
    <row r="646" spans="1:3" ht="10.5">
      <c r="A646" s="1" t="s">
        <v>1107</v>
      </c>
      <c r="B646" s="1">
        <v>2</v>
      </c>
      <c r="C646" s="63">
        <v>1000</v>
      </c>
    </row>
    <row r="647" spans="1:3" ht="10.5">
      <c r="A647" s="1" t="s">
        <v>1108</v>
      </c>
      <c r="B647" s="1">
        <v>2</v>
      </c>
      <c r="C647" s="63">
        <v>1500</v>
      </c>
    </row>
    <row r="648" spans="1:3" ht="10.5">
      <c r="A648" s="1" t="s">
        <v>1109</v>
      </c>
      <c r="B648" s="1">
        <v>2</v>
      </c>
      <c r="C648" s="63">
        <v>2000</v>
      </c>
    </row>
    <row r="649" spans="1:3" ht="10.5">
      <c r="A649" s="1" t="s">
        <v>1110</v>
      </c>
      <c r="B649" s="1">
        <v>2</v>
      </c>
      <c r="C649" s="63">
        <v>2500</v>
      </c>
    </row>
    <row r="650" spans="1:3" ht="10.5">
      <c r="A650" s="1" t="s">
        <v>1111</v>
      </c>
      <c r="C650" s="63"/>
    </row>
    <row r="651" spans="1:3" ht="10.5">
      <c r="A651" s="1" t="s">
        <v>1112</v>
      </c>
      <c r="C651" s="63">
        <v>25</v>
      </c>
    </row>
    <row r="652" spans="1:3" ht="10.5">
      <c r="A652" s="1" t="s">
        <v>1113</v>
      </c>
      <c r="B652" s="1" t="s">
        <v>1057</v>
      </c>
      <c r="C652" s="63">
        <v>100</v>
      </c>
    </row>
    <row r="653" spans="1:3" ht="10.5">
      <c r="A653" s="1" t="s">
        <v>1114</v>
      </c>
      <c r="B653" s="1" t="s">
        <v>1059</v>
      </c>
      <c r="C653" s="63">
        <v>200</v>
      </c>
    </row>
    <row r="654" spans="1:3" ht="10.5">
      <c r="A654" s="1" t="s">
        <v>1115</v>
      </c>
      <c r="B654" s="1" t="s">
        <v>1061</v>
      </c>
      <c r="C654" s="63">
        <v>300</v>
      </c>
    </row>
    <row r="655" spans="1:3" ht="10.5">
      <c r="A655" s="1" t="s">
        <v>1116</v>
      </c>
      <c r="B655" s="1" t="s">
        <v>657</v>
      </c>
      <c r="C655" s="63">
        <v>400</v>
      </c>
    </row>
    <row r="656" spans="1:3" ht="10.5">
      <c r="A656" s="1" t="s">
        <v>1117</v>
      </c>
      <c r="B656" s="1" t="s">
        <v>818</v>
      </c>
      <c r="C656" s="63">
        <v>500</v>
      </c>
    </row>
    <row r="657" spans="1:3" ht="10.5">
      <c r="A657" s="1" t="s">
        <v>1118</v>
      </c>
      <c r="B657" s="1" t="s">
        <v>1065</v>
      </c>
      <c r="C657" s="63">
        <v>600</v>
      </c>
    </row>
    <row r="658" spans="1:3" ht="10.5">
      <c r="A658" s="1" t="s">
        <v>1119</v>
      </c>
      <c r="B658" s="1" t="s">
        <v>1038</v>
      </c>
      <c r="C658" s="63">
        <v>1000</v>
      </c>
    </row>
    <row r="659" spans="1:3" ht="10.5">
      <c r="A659" s="1" t="s">
        <v>1120</v>
      </c>
      <c r="B659" s="1" t="s">
        <v>884</v>
      </c>
      <c r="C659" s="63">
        <v>2000</v>
      </c>
    </row>
    <row r="660" spans="1:3" ht="10.5">
      <c r="A660" s="1" t="s">
        <v>1121</v>
      </c>
      <c r="B660" s="1" t="s">
        <v>657</v>
      </c>
      <c r="C660" s="63">
        <v>3000</v>
      </c>
    </row>
    <row r="661" spans="1:3" ht="10.5">
      <c r="A661" s="1" t="s">
        <v>1122</v>
      </c>
      <c r="B661" s="1" t="s">
        <v>850</v>
      </c>
      <c r="C661" s="63">
        <v>4000</v>
      </c>
    </row>
    <row r="662" spans="1:3" ht="10.5">
      <c r="A662" s="1" t="s">
        <v>1123</v>
      </c>
      <c r="B662" s="1" t="s">
        <v>881</v>
      </c>
      <c r="C662" s="63">
        <v>5000</v>
      </c>
    </row>
    <row r="663" spans="1:3" ht="10.5">
      <c r="A663" s="1" t="s">
        <v>1124</v>
      </c>
      <c r="B663" s="1" t="s">
        <v>1069</v>
      </c>
      <c r="C663" s="63">
        <v>6000</v>
      </c>
    </row>
    <row r="664" spans="1:3" ht="10.5">
      <c r="A664" s="1" t="s">
        <v>1125</v>
      </c>
      <c r="C664" s="63"/>
    </row>
    <row r="665" spans="1:3" ht="10.5">
      <c r="A665" s="1" t="s">
        <v>1126</v>
      </c>
      <c r="C665" s="63">
        <v>500</v>
      </c>
    </row>
    <row r="666" spans="1:3" ht="10.5">
      <c r="A666" s="1" t="s">
        <v>1127</v>
      </c>
      <c r="B666" s="1">
        <v>8</v>
      </c>
      <c r="C666" s="63">
        <v>5000</v>
      </c>
    </row>
    <row r="667" spans="1:3" ht="10.5">
      <c r="A667" s="1" t="s">
        <v>1128</v>
      </c>
      <c r="B667" s="1">
        <v>12</v>
      </c>
      <c r="C667" s="63">
        <v>100000</v>
      </c>
    </row>
    <row r="668" spans="1:3" ht="10.5">
      <c r="A668" s="1" t="s">
        <v>1129</v>
      </c>
      <c r="C668" s="63"/>
    </row>
    <row r="669" spans="1:3" ht="10.5">
      <c r="A669" s="1" t="s">
        <v>1130</v>
      </c>
      <c r="C669" s="63">
        <v>100</v>
      </c>
    </row>
    <row r="670" spans="1:3" ht="10.5">
      <c r="A670" s="1" t="s">
        <v>211</v>
      </c>
      <c r="B670" s="1">
        <v>6</v>
      </c>
      <c r="C670" s="63">
        <v>50</v>
      </c>
    </row>
    <row r="671" spans="1:3" ht="10.5">
      <c r="A671" s="1" t="s">
        <v>1131</v>
      </c>
      <c r="C671" s="63">
        <v>25</v>
      </c>
    </row>
    <row r="672" spans="1:3" ht="10.5">
      <c r="A672" s="1" t="s">
        <v>1132</v>
      </c>
      <c r="C672" s="63">
        <v>50</v>
      </c>
    </row>
    <row r="673" spans="1:3" ht="10.5">
      <c r="A673" s="1" t="s">
        <v>1133</v>
      </c>
      <c r="B673" s="1">
        <v>8</v>
      </c>
      <c r="C673" s="63">
        <v>250</v>
      </c>
    </row>
    <row r="674" spans="1:3" ht="10.5">
      <c r="A674" s="1" t="s">
        <v>1134</v>
      </c>
      <c r="B674" s="1">
        <v>4</v>
      </c>
      <c r="C674" s="63">
        <v>25</v>
      </c>
    </row>
    <row r="675" spans="1:3" ht="10.5">
      <c r="A675" s="1" t="s">
        <v>916</v>
      </c>
      <c r="B675" s="1">
        <v>3</v>
      </c>
      <c r="C675" s="63">
        <v>50</v>
      </c>
    </row>
    <row r="676" spans="1:3" ht="10.5">
      <c r="A676" s="1" t="s">
        <v>1135</v>
      </c>
      <c r="B676" s="1" t="s">
        <v>847</v>
      </c>
      <c r="C676" s="63">
        <v>2000</v>
      </c>
    </row>
    <row r="677" spans="1:3" ht="10.5">
      <c r="A677" s="1" t="s">
        <v>216</v>
      </c>
      <c r="B677" s="1">
        <v>4</v>
      </c>
      <c r="C677" s="63">
        <v>100</v>
      </c>
    </row>
    <row r="678" spans="1:3" ht="10.5">
      <c r="A678" s="1" t="s">
        <v>214</v>
      </c>
      <c r="B678" s="1">
        <v>2</v>
      </c>
      <c r="C678" s="63">
        <v>50</v>
      </c>
    </row>
    <row r="679" spans="1:3" ht="10.5">
      <c r="A679" s="1" t="s">
        <v>212</v>
      </c>
      <c r="C679" s="63">
        <v>25</v>
      </c>
    </row>
    <row r="680" spans="1:3" ht="12">
      <c r="A680" s="96" t="s">
        <v>217</v>
      </c>
      <c r="B680" s="1" t="s">
        <v>641</v>
      </c>
      <c r="C680" s="63">
        <v>500</v>
      </c>
    </row>
    <row r="681" spans="1:3" ht="12">
      <c r="A681" s="96" t="s">
        <v>213</v>
      </c>
      <c r="B681" s="1">
        <v>6</v>
      </c>
      <c r="C681" s="63">
        <v>100</v>
      </c>
    </row>
    <row r="682" spans="1:3" ht="10.5">
      <c r="A682" s="1" t="s">
        <v>1136</v>
      </c>
      <c r="B682" s="1">
        <v>8</v>
      </c>
      <c r="C682" s="63">
        <v>1000</v>
      </c>
    </row>
    <row r="683" spans="1:3" ht="10.5">
      <c r="A683" s="1" t="s">
        <v>1137</v>
      </c>
      <c r="B683" s="1">
        <v>4</v>
      </c>
      <c r="C683" s="63">
        <v>100</v>
      </c>
    </row>
    <row r="684" spans="1:3" ht="10.5">
      <c r="A684" s="1" t="s">
        <v>1138</v>
      </c>
      <c r="B684" s="1">
        <v>4</v>
      </c>
      <c r="C684" s="63">
        <v>200</v>
      </c>
    </row>
    <row r="685" spans="1:3" ht="10.5">
      <c r="A685" s="1" t="s">
        <v>218</v>
      </c>
      <c r="B685" s="1">
        <v>4</v>
      </c>
      <c r="C685" s="63">
        <v>300</v>
      </c>
    </row>
    <row r="686" spans="1:3" ht="10.5">
      <c r="A686" s="1" t="s">
        <v>215</v>
      </c>
      <c r="B686" s="1">
        <v>2</v>
      </c>
      <c r="C686" s="63">
        <v>100</v>
      </c>
    </row>
    <row r="687" spans="1:3" ht="10.5">
      <c r="A687" s="1" t="s">
        <v>1139</v>
      </c>
      <c r="C687" s="63"/>
    </row>
    <row r="688" spans="1:3" ht="10.5">
      <c r="A688" s="1" t="s">
        <v>1140</v>
      </c>
      <c r="C688" s="63">
        <v>10</v>
      </c>
    </row>
    <row r="689" spans="1:3" ht="10.5">
      <c r="A689" s="1" t="s">
        <v>1141</v>
      </c>
      <c r="C689" s="63">
        <v>50</v>
      </c>
    </row>
    <row r="690" spans="1:3" ht="10.5">
      <c r="A690" s="1" t="s">
        <v>1142</v>
      </c>
      <c r="B690" s="1">
        <v>2</v>
      </c>
      <c r="C690" s="63">
        <v>100</v>
      </c>
    </row>
    <row r="691" spans="1:3" ht="10.5">
      <c r="A691" s="1" t="s">
        <v>1143</v>
      </c>
      <c r="B691" s="1">
        <v>2</v>
      </c>
      <c r="C691" s="63">
        <v>200</v>
      </c>
    </row>
    <row r="692" spans="1:3" ht="10.5">
      <c r="A692" s="1" t="s">
        <v>1144</v>
      </c>
      <c r="B692" s="1">
        <v>2</v>
      </c>
      <c r="C692" s="63">
        <v>300</v>
      </c>
    </row>
    <row r="693" spans="1:3" ht="10.5">
      <c r="A693" s="1" t="s">
        <v>1145</v>
      </c>
      <c r="B693" s="1">
        <v>8</v>
      </c>
      <c r="C693" s="63">
        <v>200</v>
      </c>
    </row>
    <row r="694" spans="1:3" ht="10.5">
      <c r="A694" s="1" t="s">
        <v>1146</v>
      </c>
      <c r="B694" s="1">
        <v>8</v>
      </c>
      <c r="C694" s="63">
        <v>400</v>
      </c>
    </row>
    <row r="695" spans="1:3" ht="10.5">
      <c r="A695" s="1" t="s">
        <v>1147</v>
      </c>
      <c r="B695" s="1">
        <v>8</v>
      </c>
      <c r="C695" s="63">
        <v>600</v>
      </c>
    </row>
    <row r="696" spans="1:3" ht="10.5">
      <c r="A696" s="1" t="s">
        <v>1148</v>
      </c>
      <c r="B696" s="1">
        <v>6</v>
      </c>
      <c r="C696" s="63">
        <v>100</v>
      </c>
    </row>
    <row r="697" ht="10.5">
      <c r="A697" s="1" t="s">
        <v>1149</v>
      </c>
    </row>
    <row r="698" ht="10.5">
      <c r="A698" s="1" t="s">
        <v>1150</v>
      </c>
    </row>
    <row r="699" ht="10.5">
      <c r="A699" s="1" t="s">
        <v>1151</v>
      </c>
    </row>
    <row r="700" ht="10.5">
      <c r="A700" s="1" t="s">
        <v>1152</v>
      </c>
    </row>
    <row r="701" ht="10.5">
      <c r="A701" s="1" t="s">
        <v>1153</v>
      </c>
    </row>
    <row r="702" ht="10.5">
      <c r="A702" s="1" t="s">
        <v>1154</v>
      </c>
    </row>
    <row r="703" ht="10.5">
      <c r="A703" s="1" t="s">
        <v>1155</v>
      </c>
    </row>
    <row r="704" spans="1:3" ht="10.5">
      <c r="A704" s="1" t="s">
        <v>1156</v>
      </c>
      <c r="B704" s="1">
        <v>2</v>
      </c>
      <c r="C704" s="1">
        <v>25</v>
      </c>
    </row>
    <row r="705" spans="1:3" ht="10.5">
      <c r="A705" s="1" t="s">
        <v>1157</v>
      </c>
      <c r="B705" s="1">
        <v>2</v>
      </c>
      <c r="C705" s="1">
        <v>50</v>
      </c>
    </row>
    <row r="706" spans="1:3" ht="10.5">
      <c r="A706" s="1" t="s">
        <v>1158</v>
      </c>
      <c r="B706" s="1">
        <v>2</v>
      </c>
      <c r="C706" s="1">
        <v>75</v>
      </c>
    </row>
    <row r="707" ht="10.5">
      <c r="A707" s="1" t="s">
        <v>1159</v>
      </c>
    </row>
    <row r="708" spans="1:3" ht="12">
      <c r="A708" s="96" t="s">
        <v>1160</v>
      </c>
      <c r="B708" s="1" t="s">
        <v>641</v>
      </c>
      <c r="C708" s="1">
        <v>75</v>
      </c>
    </row>
    <row r="709" spans="1:3" ht="12">
      <c r="A709" s="96" t="s">
        <v>1161</v>
      </c>
      <c r="B709" s="1" t="s">
        <v>641</v>
      </c>
      <c r="C709" s="1">
        <v>150</v>
      </c>
    </row>
    <row r="710" spans="1:3" ht="12">
      <c r="A710" s="96" t="s">
        <v>1162</v>
      </c>
      <c r="B710" s="1" t="s">
        <v>641</v>
      </c>
      <c r="C710" s="1">
        <v>225</v>
      </c>
    </row>
    <row r="711" spans="1:3" ht="12">
      <c r="A711" s="96" t="s">
        <v>1163</v>
      </c>
      <c r="B711" s="1" t="s">
        <v>641</v>
      </c>
      <c r="C711" s="1">
        <v>300</v>
      </c>
    </row>
    <row r="712" spans="1:3" ht="12">
      <c r="A712" s="96" t="s">
        <v>1164</v>
      </c>
      <c r="B712" s="1" t="s">
        <v>641</v>
      </c>
      <c r="C712" s="1">
        <v>375</v>
      </c>
    </row>
    <row r="713" spans="1:3" ht="12">
      <c r="A713" s="96" t="s">
        <v>1165</v>
      </c>
      <c r="B713" s="1" t="s">
        <v>641</v>
      </c>
      <c r="C713" s="1">
        <v>450</v>
      </c>
    </row>
    <row r="714" spans="1:3" ht="10.5">
      <c r="A714" s="1" t="s">
        <v>1166</v>
      </c>
      <c r="B714" s="1">
        <v>4</v>
      </c>
      <c r="C714" s="1">
        <v>50</v>
      </c>
    </row>
    <row r="715" spans="1:3" ht="10.5">
      <c r="A715" s="1" t="s">
        <v>1167</v>
      </c>
      <c r="B715" s="1">
        <v>4</v>
      </c>
      <c r="C715" s="1">
        <v>50</v>
      </c>
    </row>
    <row r="716" spans="1:3" ht="10.5">
      <c r="A716" s="1" t="s">
        <v>1168</v>
      </c>
      <c r="B716" s="1" t="s">
        <v>637</v>
      </c>
      <c r="C716" s="1">
        <v>50</v>
      </c>
    </row>
    <row r="717" spans="1:3" ht="10.5">
      <c r="A717" s="1" t="s">
        <v>1169</v>
      </c>
      <c r="B717" s="1" t="s">
        <v>637</v>
      </c>
      <c r="C717" s="1">
        <v>100</v>
      </c>
    </row>
    <row r="718" spans="1:3" ht="10.5">
      <c r="A718" s="1" t="s">
        <v>1170</v>
      </c>
      <c r="B718" s="1" t="s">
        <v>637</v>
      </c>
      <c r="C718" s="1">
        <v>150</v>
      </c>
    </row>
    <row r="719" spans="1:3" ht="10.5">
      <c r="A719" s="1" t="s">
        <v>1171</v>
      </c>
      <c r="B719" s="1" t="s">
        <v>637</v>
      </c>
      <c r="C719" s="1">
        <v>200</v>
      </c>
    </row>
    <row r="720" spans="1:3" ht="10.5">
      <c r="A720" s="1" t="s">
        <v>1172</v>
      </c>
      <c r="B720" s="1" t="s">
        <v>637</v>
      </c>
      <c r="C720" s="1">
        <v>250</v>
      </c>
    </row>
    <row r="721" spans="1:3" ht="10.5">
      <c r="A721" s="1" t="s">
        <v>1173</v>
      </c>
      <c r="B721" s="1" t="s">
        <v>637</v>
      </c>
      <c r="C721" s="1">
        <v>300</v>
      </c>
    </row>
    <row r="722" spans="1:3" ht="12">
      <c r="A722" s="96" t="s">
        <v>1174</v>
      </c>
      <c r="B722" s="1">
        <v>8</v>
      </c>
      <c r="C722" s="1">
        <v>100</v>
      </c>
    </row>
    <row r="723" spans="1:3" ht="10.5">
      <c r="A723" s="1" t="s">
        <v>1175</v>
      </c>
      <c r="B723" s="1" t="s">
        <v>639</v>
      </c>
      <c r="C723" s="1">
        <v>75</v>
      </c>
    </row>
    <row r="724" spans="1:3" ht="10.5">
      <c r="A724" s="1" t="s">
        <v>1176</v>
      </c>
      <c r="B724" s="1" t="s">
        <v>639</v>
      </c>
      <c r="C724" s="1">
        <v>150</v>
      </c>
    </row>
    <row r="725" spans="1:3" ht="10.5">
      <c r="A725" s="1" t="s">
        <v>1177</v>
      </c>
      <c r="B725" s="1" t="s">
        <v>639</v>
      </c>
      <c r="C725" s="1">
        <v>225</v>
      </c>
    </row>
    <row r="726" spans="1:3" ht="10.5">
      <c r="A726" s="1" t="s">
        <v>1178</v>
      </c>
      <c r="C726" s="1">
        <v>50</v>
      </c>
    </row>
    <row r="727" spans="1:3" ht="10.5">
      <c r="A727" s="1" t="s">
        <v>1179</v>
      </c>
      <c r="B727" s="1">
        <v>4</v>
      </c>
      <c r="C727" s="1">
        <v>50</v>
      </c>
    </row>
    <row r="728" spans="1:3" ht="10.5">
      <c r="A728" s="1" t="s">
        <v>1180</v>
      </c>
      <c r="B728" s="1">
        <v>4</v>
      </c>
      <c r="C728" s="1">
        <v>500</v>
      </c>
    </row>
    <row r="729" spans="1:3" ht="10.5">
      <c r="A729" s="1" t="s">
        <v>1181</v>
      </c>
      <c r="B729" s="1">
        <v>4</v>
      </c>
      <c r="C729" s="1">
        <v>1000</v>
      </c>
    </row>
    <row r="730" spans="1:3" ht="10.5">
      <c r="A730" s="1" t="s">
        <v>1182</v>
      </c>
      <c r="B730" s="1">
        <v>4</v>
      </c>
      <c r="C730" s="1">
        <v>1500</v>
      </c>
    </row>
    <row r="731" spans="1:3" ht="10.5">
      <c r="A731" s="1" t="s">
        <v>1183</v>
      </c>
      <c r="B731" s="1">
        <v>4</v>
      </c>
      <c r="C731" s="1">
        <v>2000</v>
      </c>
    </row>
    <row r="732" spans="1:3" ht="10.5">
      <c r="A732" s="1" t="s">
        <v>1184</v>
      </c>
      <c r="B732" s="1">
        <v>4</v>
      </c>
      <c r="C732" s="1">
        <v>2500</v>
      </c>
    </row>
    <row r="733" spans="1:3" ht="10.5">
      <c r="A733" s="1" t="s">
        <v>1185</v>
      </c>
      <c r="B733" s="1">
        <v>4</v>
      </c>
      <c r="C733" s="1">
        <v>3000</v>
      </c>
    </row>
    <row r="734" spans="1:3" ht="10.5">
      <c r="A734" s="1" t="s">
        <v>1186</v>
      </c>
      <c r="B734" s="1" t="s">
        <v>641</v>
      </c>
      <c r="C734" s="1">
        <v>25</v>
      </c>
    </row>
    <row r="735" spans="1:3" ht="10.5">
      <c r="A735" s="1" t="s">
        <v>1187</v>
      </c>
      <c r="B735" s="1" t="s">
        <v>641</v>
      </c>
      <c r="C735" s="1">
        <v>50</v>
      </c>
    </row>
    <row r="736" spans="1:3" ht="10.5">
      <c r="A736" s="1" t="s">
        <v>1188</v>
      </c>
      <c r="B736" s="1" t="s">
        <v>641</v>
      </c>
      <c r="C736" s="1">
        <v>75</v>
      </c>
    </row>
    <row r="737" spans="1:3" ht="10.5">
      <c r="A737" s="1" t="s">
        <v>1189</v>
      </c>
      <c r="B737" s="1" t="s">
        <v>641</v>
      </c>
      <c r="C737" s="1">
        <v>100</v>
      </c>
    </row>
    <row r="738" spans="1:3" ht="10.5">
      <c r="A738" s="1" t="s">
        <v>1190</v>
      </c>
      <c r="B738" s="1" t="s">
        <v>641</v>
      </c>
      <c r="C738" s="1">
        <v>125</v>
      </c>
    </row>
    <row r="739" spans="1:3" ht="10.5">
      <c r="A739" s="1" t="s">
        <v>1191</v>
      </c>
      <c r="B739" s="1" t="s">
        <v>641</v>
      </c>
      <c r="C739" s="1">
        <v>150</v>
      </c>
    </row>
    <row r="740" ht="10.5">
      <c r="A740" s="1" t="s">
        <v>1192</v>
      </c>
    </row>
    <row r="741" spans="1:3" ht="10.5">
      <c r="A741" s="1" t="s">
        <v>1193</v>
      </c>
      <c r="C741" s="1">
        <v>10</v>
      </c>
    </row>
    <row r="742" spans="1:3" ht="10.5">
      <c r="A742" s="1" t="s">
        <v>1194</v>
      </c>
      <c r="C742" s="1">
        <v>20</v>
      </c>
    </row>
    <row r="743" spans="1:3" ht="10.5">
      <c r="A743" s="1" t="s">
        <v>1195</v>
      </c>
      <c r="C743" s="1">
        <v>30</v>
      </c>
    </row>
    <row r="744" spans="1:3" ht="10.5">
      <c r="A744" s="1" t="s">
        <v>1196</v>
      </c>
      <c r="C744" s="1">
        <v>40</v>
      </c>
    </row>
    <row r="745" spans="1:3" ht="10.5">
      <c r="A745" s="1" t="s">
        <v>1197</v>
      </c>
      <c r="C745" s="1">
        <v>50</v>
      </c>
    </row>
    <row r="746" spans="1:3" ht="10.5">
      <c r="A746" s="1" t="s">
        <v>1198</v>
      </c>
      <c r="C746" s="1">
        <v>60</v>
      </c>
    </row>
    <row r="747" spans="1:3" ht="10.5">
      <c r="A747" s="1" t="s">
        <v>1199</v>
      </c>
      <c r="C747" s="1">
        <v>100</v>
      </c>
    </row>
    <row r="748" spans="1:3" ht="10.5">
      <c r="A748" s="1" t="s">
        <v>1200</v>
      </c>
      <c r="C748" s="1">
        <v>200</v>
      </c>
    </row>
    <row r="749" spans="1:3" ht="10.5">
      <c r="A749" s="1" t="s">
        <v>1201</v>
      </c>
      <c r="C749" s="1">
        <v>300</v>
      </c>
    </row>
    <row r="750" spans="1:3" ht="10.5">
      <c r="A750" s="1" t="s">
        <v>1202</v>
      </c>
      <c r="C750" s="1">
        <v>400</v>
      </c>
    </row>
    <row r="751" spans="1:3" ht="10.5">
      <c r="A751" s="1" t="s">
        <v>1203</v>
      </c>
      <c r="C751" s="1">
        <v>500</v>
      </c>
    </row>
    <row r="752" spans="1:3" ht="10.5">
      <c r="A752" s="1" t="s">
        <v>1204</v>
      </c>
      <c r="C752" s="1">
        <v>600</v>
      </c>
    </row>
    <row r="753" spans="1:3" ht="10.5">
      <c r="A753" s="1" t="s">
        <v>1205</v>
      </c>
      <c r="C753" s="1">
        <v>50</v>
      </c>
    </row>
    <row r="754" spans="1:3" ht="10.5">
      <c r="A754" s="1" t="s">
        <v>1206</v>
      </c>
      <c r="C754" s="1">
        <v>100</v>
      </c>
    </row>
    <row r="755" spans="1:3" ht="10.5">
      <c r="A755" s="1" t="s">
        <v>1207</v>
      </c>
      <c r="C755" s="1">
        <v>200</v>
      </c>
    </row>
    <row r="756" spans="1:3" ht="10.5">
      <c r="A756" s="1" t="s">
        <v>1208</v>
      </c>
      <c r="C756" s="1">
        <v>300</v>
      </c>
    </row>
    <row r="757" spans="1:3" ht="10.5">
      <c r="A757" s="1" t="s">
        <v>1209</v>
      </c>
      <c r="C757" s="1">
        <v>400</v>
      </c>
    </row>
    <row r="758" spans="1:3" ht="10.5">
      <c r="A758" s="1" t="s">
        <v>1210</v>
      </c>
      <c r="B758" s="1">
        <v>4</v>
      </c>
      <c r="C758" s="1">
        <v>200</v>
      </c>
    </row>
    <row r="759" ht="10.5">
      <c r="A759" s="1" t="s">
        <v>1211</v>
      </c>
    </row>
    <row r="760" spans="1:3" ht="10.5">
      <c r="A760" s="1" t="s">
        <v>1212</v>
      </c>
      <c r="C760" s="1">
        <v>20</v>
      </c>
    </row>
    <row r="761" spans="1:3" ht="10.5">
      <c r="A761" s="1" t="s">
        <v>1213</v>
      </c>
      <c r="B761" s="1" t="s">
        <v>639</v>
      </c>
      <c r="C761" s="1">
        <v>50</v>
      </c>
    </row>
    <row r="762" spans="1:3" ht="10.5">
      <c r="A762" s="1" t="s">
        <v>1214</v>
      </c>
      <c r="C762" s="1">
        <v>1</v>
      </c>
    </row>
    <row r="763" spans="1:3" ht="10.5">
      <c r="A763" s="1" t="s">
        <v>1215</v>
      </c>
      <c r="B763" s="1" t="s">
        <v>639</v>
      </c>
      <c r="C763" s="1">
        <v>200</v>
      </c>
    </row>
    <row r="764" ht="10.5">
      <c r="A764" s="1" t="s">
        <v>1216</v>
      </c>
    </row>
    <row r="765" spans="1:3" ht="10.5">
      <c r="A765" s="1" t="s">
        <v>1217</v>
      </c>
      <c r="B765" s="1" t="s">
        <v>637</v>
      </c>
      <c r="C765" s="1">
        <v>200</v>
      </c>
    </row>
    <row r="766" spans="1:3" ht="10.5">
      <c r="A766" s="1" t="s">
        <v>1218</v>
      </c>
      <c r="B766" s="1" t="s">
        <v>637</v>
      </c>
      <c r="C766" s="1">
        <v>400</v>
      </c>
    </row>
    <row r="767" spans="1:3" ht="10.5">
      <c r="A767" s="1" t="s">
        <v>1219</v>
      </c>
      <c r="B767" s="1" t="s">
        <v>637</v>
      </c>
      <c r="C767" s="1">
        <v>600</v>
      </c>
    </row>
    <row r="768" spans="1:3" ht="10.5">
      <c r="A768" s="1" t="s">
        <v>1220</v>
      </c>
      <c r="B768" s="1" t="s">
        <v>637</v>
      </c>
      <c r="C768" s="1">
        <v>800</v>
      </c>
    </row>
    <row r="769" spans="1:3" ht="10.5">
      <c r="A769" s="1" t="s">
        <v>1221</v>
      </c>
      <c r="B769" s="1" t="s">
        <v>637</v>
      </c>
      <c r="C769" s="1">
        <v>1000</v>
      </c>
    </row>
    <row r="770" spans="1:3" ht="10.5">
      <c r="A770" s="1" t="s">
        <v>1222</v>
      </c>
      <c r="B770" s="1" t="s">
        <v>637</v>
      </c>
      <c r="C770" s="1">
        <v>1200</v>
      </c>
    </row>
    <row r="771" spans="1:3" ht="10.5">
      <c r="A771" s="1" t="s">
        <v>1223</v>
      </c>
      <c r="B771" s="1" t="s">
        <v>657</v>
      </c>
      <c r="C771" s="1">
        <v>200</v>
      </c>
    </row>
    <row r="772" spans="1:3" ht="10.5">
      <c r="A772" s="1" t="s">
        <v>1224</v>
      </c>
      <c r="B772" s="1" t="s">
        <v>657</v>
      </c>
      <c r="C772" s="1">
        <v>400</v>
      </c>
    </row>
    <row r="773" spans="1:3" ht="10.5">
      <c r="A773" s="1" t="s">
        <v>1225</v>
      </c>
      <c r="B773" s="1" t="s">
        <v>657</v>
      </c>
      <c r="C773" s="1">
        <v>600</v>
      </c>
    </row>
    <row r="774" spans="1:3" ht="10.5">
      <c r="A774" s="1" t="s">
        <v>1226</v>
      </c>
      <c r="C774" s="1">
        <v>20</v>
      </c>
    </row>
    <row r="775" spans="1:3" ht="10.5">
      <c r="A775" s="1" t="s">
        <v>1227</v>
      </c>
      <c r="B775" s="1" t="s">
        <v>884</v>
      </c>
      <c r="C775" s="1">
        <v>300</v>
      </c>
    </row>
    <row r="776" spans="1:3" ht="10.5">
      <c r="A776" s="1" t="s">
        <v>1228</v>
      </c>
      <c r="B776" s="1" t="s">
        <v>884</v>
      </c>
      <c r="C776" s="1">
        <v>600</v>
      </c>
    </row>
    <row r="777" spans="1:3" ht="10.5">
      <c r="A777" s="1" t="s">
        <v>1229</v>
      </c>
      <c r="B777" s="1" t="s">
        <v>884</v>
      </c>
      <c r="C777" s="1">
        <v>900</v>
      </c>
    </row>
    <row r="778" spans="1:3" ht="10.5">
      <c r="A778" s="1" t="s">
        <v>1230</v>
      </c>
      <c r="B778" s="1" t="s">
        <v>884</v>
      </c>
      <c r="C778" s="1">
        <v>1200</v>
      </c>
    </row>
    <row r="779" spans="1:3" ht="10.5">
      <c r="A779" s="1" t="s">
        <v>1231</v>
      </c>
      <c r="B779" s="1" t="s">
        <v>884</v>
      </c>
      <c r="C779" s="1">
        <v>1500</v>
      </c>
    </row>
    <row r="780" spans="1:3" ht="10.5">
      <c r="A780" s="1" t="s">
        <v>1232</v>
      </c>
      <c r="B780" s="1" t="s">
        <v>884</v>
      </c>
      <c r="C780" s="1">
        <v>1800</v>
      </c>
    </row>
    <row r="781" spans="1:3" ht="10.5">
      <c r="A781" s="1" t="s">
        <v>1233</v>
      </c>
      <c r="B781" s="1" t="s">
        <v>639</v>
      </c>
      <c r="C781" s="1">
        <v>300</v>
      </c>
    </row>
    <row r="782" spans="1:3" ht="10.5">
      <c r="A782" s="1" t="s">
        <v>1234</v>
      </c>
      <c r="B782" s="1" t="s">
        <v>1057</v>
      </c>
      <c r="C782" s="1">
        <v>2000</v>
      </c>
    </row>
    <row r="783" spans="1:3" ht="10.5">
      <c r="A783" s="1" t="s">
        <v>1235</v>
      </c>
      <c r="B783" s="1" t="s">
        <v>1059</v>
      </c>
      <c r="C783" s="1">
        <v>4000</v>
      </c>
    </row>
    <row r="784" spans="1:3" ht="10.5">
      <c r="A784" s="1" t="s">
        <v>1236</v>
      </c>
      <c r="B784" s="1" t="s">
        <v>1061</v>
      </c>
      <c r="C784" s="1">
        <v>6000</v>
      </c>
    </row>
    <row r="785" spans="1:3" ht="10.5">
      <c r="A785" s="1" t="s">
        <v>1237</v>
      </c>
      <c r="B785" s="1" t="s">
        <v>657</v>
      </c>
      <c r="C785" s="1">
        <v>8000</v>
      </c>
    </row>
    <row r="786" spans="1:3" ht="10.5">
      <c r="A786" s="1" t="s">
        <v>1238</v>
      </c>
      <c r="B786" s="1" t="s">
        <v>818</v>
      </c>
      <c r="C786" s="1">
        <v>10000</v>
      </c>
    </row>
    <row r="787" spans="1:3" ht="10.5">
      <c r="A787" s="1" t="s">
        <v>1239</v>
      </c>
      <c r="B787" s="1" t="s">
        <v>1065</v>
      </c>
      <c r="C787" s="1">
        <v>12000</v>
      </c>
    </row>
    <row r="788" spans="1:3" ht="10.5">
      <c r="A788" s="1" t="s">
        <v>1240</v>
      </c>
      <c r="B788" s="1">
        <v>2</v>
      </c>
      <c r="C788" s="1">
        <v>250</v>
      </c>
    </row>
    <row r="789" spans="1:3" ht="10.5">
      <c r="A789" s="1" t="s">
        <v>653</v>
      </c>
      <c r="B789" s="1">
        <v>4</v>
      </c>
      <c r="C789" s="1">
        <v>300</v>
      </c>
    </row>
    <row r="790" spans="1:3" ht="10.5">
      <c r="A790" s="1" t="s">
        <v>1241</v>
      </c>
      <c r="B790" s="1" t="s">
        <v>1057</v>
      </c>
      <c r="C790" s="1">
        <v>200</v>
      </c>
    </row>
    <row r="791" spans="1:3" ht="10.5">
      <c r="A791" s="1" t="s">
        <v>1242</v>
      </c>
      <c r="B791" s="1" t="s">
        <v>1059</v>
      </c>
      <c r="C791" s="1">
        <v>400</v>
      </c>
    </row>
    <row r="792" spans="1:3" ht="10.5">
      <c r="A792" s="1" t="s">
        <v>1243</v>
      </c>
      <c r="B792" s="1" t="s">
        <v>1061</v>
      </c>
      <c r="C792" s="1">
        <v>600</v>
      </c>
    </row>
    <row r="793" spans="1:3" ht="10.5">
      <c r="A793" s="1" t="s">
        <v>1244</v>
      </c>
      <c r="B793" s="1" t="s">
        <v>657</v>
      </c>
      <c r="C793" s="1">
        <v>800</v>
      </c>
    </row>
    <row r="794" spans="1:3" ht="10.5">
      <c r="A794" s="1" t="s">
        <v>1245</v>
      </c>
      <c r="B794" s="1" t="s">
        <v>818</v>
      </c>
      <c r="C794" s="1">
        <v>1000</v>
      </c>
    </row>
    <row r="795" spans="1:3" ht="10.5">
      <c r="A795" s="1" t="s">
        <v>1246</v>
      </c>
      <c r="B795" s="1" t="s">
        <v>1065</v>
      </c>
      <c r="C795" s="1">
        <v>1200</v>
      </c>
    </row>
    <row r="796" spans="1:3" ht="10.5">
      <c r="A796" s="1" t="s">
        <v>1247</v>
      </c>
      <c r="C796" s="1">
        <v>25</v>
      </c>
    </row>
    <row r="797" ht="10.5">
      <c r="A797" s="1" t="s">
        <v>1248</v>
      </c>
    </row>
    <row r="798" spans="1:3" ht="10.5">
      <c r="A798" s="1" t="s">
        <v>1249</v>
      </c>
      <c r="B798" s="1">
        <v>2</v>
      </c>
      <c r="C798" s="1">
        <v>100</v>
      </c>
    </row>
    <row r="799" spans="1:3" ht="10.5">
      <c r="A799" s="1" t="s">
        <v>1250</v>
      </c>
      <c r="B799" s="1">
        <v>4</v>
      </c>
      <c r="C799" s="1">
        <v>200</v>
      </c>
    </row>
    <row r="800" spans="1:3" ht="10.5">
      <c r="A800" s="1" t="s">
        <v>1251</v>
      </c>
      <c r="B800" s="1">
        <v>6</v>
      </c>
      <c r="C800" s="1">
        <v>300</v>
      </c>
    </row>
    <row r="801" spans="1:3" ht="10.5">
      <c r="A801" s="1" t="s">
        <v>1252</v>
      </c>
      <c r="B801" s="1">
        <v>8</v>
      </c>
      <c r="C801" s="1">
        <v>400</v>
      </c>
    </row>
    <row r="802" spans="1:3" ht="10.5">
      <c r="A802" s="1" t="s">
        <v>1253</v>
      </c>
      <c r="B802" s="1">
        <v>10</v>
      </c>
      <c r="C802" s="1">
        <v>500</v>
      </c>
    </row>
    <row r="803" spans="1:3" ht="10.5">
      <c r="A803" s="1" t="s">
        <v>1254</v>
      </c>
      <c r="B803" s="1">
        <v>12</v>
      </c>
      <c r="C803" s="1">
        <v>600</v>
      </c>
    </row>
    <row r="804" spans="1:3" ht="10.5">
      <c r="A804" s="1" t="s">
        <v>1255</v>
      </c>
      <c r="C804" s="1">
        <v>200</v>
      </c>
    </row>
    <row r="805" spans="1:3" ht="10.5">
      <c r="A805" s="1" t="s">
        <v>1256</v>
      </c>
      <c r="B805" s="1">
        <v>6</v>
      </c>
      <c r="C805" s="1">
        <v>2000</v>
      </c>
    </row>
    <row r="806" spans="1:3" ht="10.5">
      <c r="A806" s="1" t="s">
        <v>1257</v>
      </c>
      <c r="C806" s="1">
        <v>100</v>
      </c>
    </row>
    <row r="807" spans="1:3" ht="10.5">
      <c r="A807" s="1" t="s">
        <v>1258</v>
      </c>
      <c r="B807" s="1">
        <v>12</v>
      </c>
      <c r="C807" s="1">
        <v>250</v>
      </c>
    </row>
    <row r="808" spans="1:3" ht="10.5">
      <c r="A808" s="1" t="s">
        <v>1259</v>
      </c>
      <c r="B808" s="1">
        <v>3</v>
      </c>
      <c r="C808" s="1">
        <v>200</v>
      </c>
    </row>
    <row r="809" spans="1:3" ht="10.5">
      <c r="A809" s="1" t="s">
        <v>1260</v>
      </c>
      <c r="B809" s="1">
        <v>8</v>
      </c>
      <c r="C809" s="1">
        <v>1000</v>
      </c>
    </row>
    <row r="810" spans="1:3" ht="10.5">
      <c r="A810" s="1" t="s">
        <v>1261</v>
      </c>
      <c r="C810" s="1">
        <v>25</v>
      </c>
    </row>
    <row r="811" spans="1:3" ht="10.5">
      <c r="A811" s="1" t="s">
        <v>1262</v>
      </c>
      <c r="C811" s="1">
        <v>25</v>
      </c>
    </row>
    <row r="812" spans="1:3" ht="10.5">
      <c r="A812" s="1" t="s">
        <v>1263</v>
      </c>
      <c r="C812" s="1">
        <v>100</v>
      </c>
    </row>
    <row r="813" spans="1:3" ht="10.5">
      <c r="A813" s="1" t="s">
        <v>897</v>
      </c>
      <c r="C813" s="1">
        <v>50</v>
      </c>
    </row>
    <row r="814" spans="1:3" ht="10.5">
      <c r="A814" s="1" t="s">
        <v>1264</v>
      </c>
      <c r="C814" s="1">
        <v>100</v>
      </c>
    </row>
    <row r="815" spans="1:3" ht="10.5">
      <c r="A815" s="1" t="s">
        <v>1265</v>
      </c>
      <c r="C815" s="1">
        <v>70</v>
      </c>
    </row>
    <row r="816" spans="1:3" ht="10.5">
      <c r="A816" s="1" t="s">
        <v>1266</v>
      </c>
      <c r="B816" s="1">
        <v>2</v>
      </c>
      <c r="C816" s="1">
        <v>100</v>
      </c>
    </row>
    <row r="817" spans="1:3" ht="10.5">
      <c r="A817" s="1" t="s">
        <v>1267</v>
      </c>
      <c r="B817" s="1">
        <v>4</v>
      </c>
      <c r="C817" s="1">
        <v>200</v>
      </c>
    </row>
    <row r="818" spans="1:3" ht="10.5">
      <c r="A818" s="1" t="s">
        <v>1268</v>
      </c>
      <c r="B818" s="1">
        <v>6</v>
      </c>
      <c r="C818" s="1">
        <v>300</v>
      </c>
    </row>
    <row r="819" spans="1:3" ht="10.5">
      <c r="A819" s="1" t="s">
        <v>1269</v>
      </c>
      <c r="B819" s="1">
        <v>8</v>
      </c>
      <c r="C819" s="1">
        <v>400</v>
      </c>
    </row>
    <row r="820" spans="1:3" ht="10.5">
      <c r="A820" s="1" t="s">
        <v>1270</v>
      </c>
      <c r="B820" s="1">
        <v>10</v>
      </c>
      <c r="C820" s="1">
        <v>500</v>
      </c>
    </row>
    <row r="821" spans="1:3" ht="10.5">
      <c r="A821" s="1" t="s">
        <v>1271</v>
      </c>
      <c r="B821" s="1">
        <v>12</v>
      </c>
      <c r="C821" s="1">
        <v>600</v>
      </c>
    </row>
    <row r="822" spans="1:3" ht="10.5">
      <c r="A822" s="1" t="s">
        <v>1272</v>
      </c>
      <c r="B822" s="1">
        <v>4</v>
      </c>
      <c r="C822" s="1">
        <v>100</v>
      </c>
    </row>
    <row r="823" ht="10.5">
      <c r="A823" s="1" t="s">
        <v>1273</v>
      </c>
    </row>
    <row r="824" spans="1:3" ht="10.5">
      <c r="A824" s="1" t="s">
        <v>899</v>
      </c>
      <c r="B824" s="1" t="s">
        <v>637</v>
      </c>
      <c r="C824" s="1">
        <v>500</v>
      </c>
    </row>
    <row r="825" spans="1:3" ht="10.5">
      <c r="A825" s="1" t="s">
        <v>1274</v>
      </c>
      <c r="B825" s="1" t="s">
        <v>884</v>
      </c>
      <c r="C825" s="1">
        <v>120</v>
      </c>
    </row>
    <row r="826" spans="1:3" ht="10.5">
      <c r="A826" s="1" t="s">
        <v>1275</v>
      </c>
      <c r="B826" s="1">
        <v>4</v>
      </c>
      <c r="C826" s="1">
        <v>50</v>
      </c>
    </row>
    <row r="827" spans="1:3" ht="10.5">
      <c r="A827" s="1" t="s">
        <v>1276</v>
      </c>
      <c r="B827" s="1">
        <v>10</v>
      </c>
      <c r="C827" s="1">
        <v>200</v>
      </c>
    </row>
    <row r="828" spans="1:3" ht="10.5">
      <c r="A828" s="1" t="s">
        <v>1277</v>
      </c>
      <c r="C828" s="1">
        <v>50</v>
      </c>
    </row>
    <row r="829" spans="1:3" ht="10.5">
      <c r="A829" s="1" t="s">
        <v>1278</v>
      </c>
      <c r="B829" s="1" t="s">
        <v>884</v>
      </c>
      <c r="C829" s="1">
        <v>85</v>
      </c>
    </row>
    <row r="830" ht="10.5">
      <c r="A830" s="1" t="s">
        <v>1279</v>
      </c>
    </row>
    <row r="831" spans="1:3" ht="10.5">
      <c r="A831" s="1" t="s">
        <v>1280</v>
      </c>
      <c r="B831" s="1">
        <v>2</v>
      </c>
      <c r="C831" s="1">
        <v>150</v>
      </c>
    </row>
    <row r="832" spans="1:3" ht="10.5">
      <c r="A832" s="1" t="s">
        <v>1281</v>
      </c>
      <c r="B832" s="1" t="s">
        <v>1282</v>
      </c>
      <c r="C832" s="1">
        <v>500</v>
      </c>
    </row>
    <row r="833" spans="1:3" ht="10.5">
      <c r="A833" s="1" t="s">
        <v>1283</v>
      </c>
      <c r="B833" s="1" t="s">
        <v>1282</v>
      </c>
      <c r="C833" s="1">
        <v>2500</v>
      </c>
    </row>
    <row r="834" ht="10.5">
      <c r="A834" s="1" t="s">
        <v>1284</v>
      </c>
    </row>
    <row r="835" spans="1:3" ht="10.5">
      <c r="A835" s="1" t="s">
        <v>1285</v>
      </c>
      <c r="C835" s="1">
        <v>300</v>
      </c>
    </row>
    <row r="836" spans="1:3" ht="10.5">
      <c r="A836" s="1" t="s">
        <v>1286</v>
      </c>
      <c r="C836" s="1">
        <v>50</v>
      </c>
    </row>
    <row r="837" spans="1:3" ht="10.5">
      <c r="A837" s="1" t="s">
        <v>1287</v>
      </c>
      <c r="C837" s="1">
        <v>100</v>
      </c>
    </row>
    <row r="838" spans="1:3" ht="10.5">
      <c r="A838" s="1" t="s">
        <v>1288</v>
      </c>
      <c r="C838" s="1">
        <v>200</v>
      </c>
    </row>
    <row r="839" spans="1:3" ht="10.5">
      <c r="A839" s="1" t="s">
        <v>1289</v>
      </c>
      <c r="C839" s="1">
        <v>300</v>
      </c>
    </row>
    <row r="840" spans="1:3" ht="10.5">
      <c r="A840" s="1" t="s">
        <v>1290</v>
      </c>
      <c r="C840" s="1">
        <v>400</v>
      </c>
    </row>
    <row r="841" spans="1:3" ht="10.5">
      <c r="A841" s="1" t="s">
        <v>1291</v>
      </c>
      <c r="C841" s="1">
        <v>500</v>
      </c>
    </row>
    <row r="842" spans="1:3" ht="10.5">
      <c r="A842" s="1" t="s">
        <v>1292</v>
      </c>
      <c r="C842" s="1">
        <v>600</v>
      </c>
    </row>
    <row r="843" spans="1:3" ht="10.5">
      <c r="A843" s="1" t="s">
        <v>1293</v>
      </c>
      <c r="C843" s="1">
        <v>5000</v>
      </c>
    </row>
    <row r="844" spans="1:3" ht="10.5">
      <c r="A844" s="1" t="s">
        <v>1294</v>
      </c>
      <c r="C844" s="1">
        <v>25000</v>
      </c>
    </row>
    <row r="845" spans="1:3" ht="10.5">
      <c r="A845" s="1" t="s">
        <v>1295</v>
      </c>
      <c r="C845" s="1">
        <v>50000</v>
      </c>
    </row>
    <row r="846" spans="1:3" ht="10.5">
      <c r="A846" s="1" t="s">
        <v>1296</v>
      </c>
      <c r="C846" s="1">
        <v>100000</v>
      </c>
    </row>
    <row r="847" ht="10.5">
      <c r="A847" s="1" t="s">
        <v>1297</v>
      </c>
    </row>
    <row r="848" spans="1:3" ht="10.5">
      <c r="A848" s="1" t="s">
        <v>1298</v>
      </c>
      <c r="B848" s="1">
        <v>1</v>
      </c>
      <c r="C848" s="1">
        <v>50</v>
      </c>
    </row>
    <row r="849" spans="1:3" ht="10.5">
      <c r="A849" s="1" t="s">
        <v>1299</v>
      </c>
      <c r="B849" s="1">
        <v>2</v>
      </c>
      <c r="C849" s="1">
        <v>100</v>
      </c>
    </row>
    <row r="850" spans="1:3" ht="10.5">
      <c r="A850" s="1" t="s">
        <v>1300</v>
      </c>
      <c r="B850" s="1">
        <v>3</v>
      </c>
      <c r="C850" s="1">
        <v>150</v>
      </c>
    </row>
    <row r="851" spans="1:3" ht="10.5">
      <c r="A851" s="1" t="s">
        <v>1301</v>
      </c>
      <c r="B851" s="1">
        <v>4</v>
      </c>
      <c r="C851" s="1">
        <v>200</v>
      </c>
    </row>
    <row r="852" spans="1:3" ht="10.5">
      <c r="A852" s="1" t="s">
        <v>1302</v>
      </c>
      <c r="B852" s="1">
        <v>5</v>
      </c>
      <c r="C852" s="1">
        <v>250</v>
      </c>
    </row>
    <row r="853" spans="1:3" ht="10.5">
      <c r="A853" s="1" t="s">
        <v>1303</v>
      </c>
      <c r="B853" s="1">
        <v>6</v>
      </c>
      <c r="C853" s="1">
        <v>300</v>
      </c>
    </row>
    <row r="854" spans="1:3" ht="10.5">
      <c r="A854" s="1" t="s">
        <v>1304</v>
      </c>
      <c r="B854" s="1">
        <v>2</v>
      </c>
      <c r="C854" s="1">
        <v>25</v>
      </c>
    </row>
    <row r="855" spans="1:3" ht="10.5">
      <c r="A855" s="1" t="s">
        <v>1305</v>
      </c>
      <c r="B855" s="1">
        <v>4</v>
      </c>
      <c r="C855" s="1">
        <v>50</v>
      </c>
    </row>
    <row r="856" spans="1:3" ht="10.5">
      <c r="A856" s="1" t="s">
        <v>1306</v>
      </c>
      <c r="B856" s="1">
        <v>6</v>
      </c>
      <c r="C856" s="1">
        <v>75</v>
      </c>
    </row>
    <row r="857" spans="1:3" ht="10.5">
      <c r="A857" s="1" t="s">
        <v>1307</v>
      </c>
      <c r="B857" s="1">
        <v>8</v>
      </c>
      <c r="C857" s="1">
        <v>100</v>
      </c>
    </row>
    <row r="858" spans="1:3" ht="10.5">
      <c r="A858" s="1" t="s">
        <v>1308</v>
      </c>
      <c r="B858" s="1">
        <v>10</v>
      </c>
      <c r="C858" s="1">
        <v>125</v>
      </c>
    </row>
    <row r="859" spans="1:3" ht="10.5">
      <c r="A859" s="1" t="s">
        <v>1309</v>
      </c>
      <c r="B859" s="1">
        <v>12</v>
      </c>
      <c r="C859" s="1">
        <v>150</v>
      </c>
    </row>
    <row r="860" spans="1:3" ht="10.5">
      <c r="A860" s="1" t="s">
        <v>1310</v>
      </c>
      <c r="B860" s="1">
        <v>2</v>
      </c>
      <c r="C860" s="1">
        <v>20</v>
      </c>
    </row>
    <row r="861" spans="1:3" ht="10.5">
      <c r="A861" s="1" t="s">
        <v>1311</v>
      </c>
      <c r="B861" s="1">
        <v>4</v>
      </c>
      <c r="C861" s="1">
        <v>40</v>
      </c>
    </row>
    <row r="862" spans="1:3" ht="10.5">
      <c r="A862" s="1" t="s">
        <v>1312</v>
      </c>
      <c r="B862" s="1">
        <v>6</v>
      </c>
      <c r="C862" s="1">
        <v>60</v>
      </c>
    </row>
    <row r="863" spans="1:3" ht="10.5">
      <c r="A863" s="1" t="s">
        <v>1313</v>
      </c>
      <c r="B863" s="1">
        <v>8</v>
      </c>
      <c r="C863" s="1">
        <v>80</v>
      </c>
    </row>
    <row r="864" spans="1:3" ht="10.5">
      <c r="A864" s="1" t="s">
        <v>1314</v>
      </c>
      <c r="B864" s="1">
        <v>10</v>
      </c>
      <c r="C864" s="1">
        <v>100</v>
      </c>
    </row>
    <row r="865" spans="1:3" ht="10.5">
      <c r="A865" s="1" t="s">
        <v>1315</v>
      </c>
      <c r="B865" s="1">
        <v>12</v>
      </c>
      <c r="C865" s="1">
        <v>120</v>
      </c>
    </row>
    <row r="866" spans="1:3" ht="10.5">
      <c r="A866" s="1" t="s">
        <v>1316</v>
      </c>
      <c r="B866" s="1">
        <v>14</v>
      </c>
      <c r="C866" s="1">
        <v>140</v>
      </c>
    </row>
    <row r="867" spans="1:3" ht="10.5">
      <c r="A867" s="1" t="s">
        <v>1317</v>
      </c>
      <c r="B867" s="1">
        <v>16</v>
      </c>
      <c r="C867" s="1">
        <v>160</v>
      </c>
    </row>
    <row r="868" spans="1:3" ht="10.5">
      <c r="A868" s="1" t="s">
        <v>1318</v>
      </c>
      <c r="B868" s="1">
        <v>18</v>
      </c>
      <c r="C868" s="1">
        <v>180</v>
      </c>
    </row>
    <row r="869" spans="1:3" ht="10.5">
      <c r="A869" s="1" t="s">
        <v>1319</v>
      </c>
      <c r="B869" s="1">
        <v>20</v>
      </c>
      <c r="C869" s="1">
        <v>200</v>
      </c>
    </row>
    <row r="870" spans="1:3" ht="10.5">
      <c r="A870" s="1" t="s">
        <v>1320</v>
      </c>
      <c r="B870" s="1">
        <v>2</v>
      </c>
      <c r="C870" s="1">
        <v>500</v>
      </c>
    </row>
    <row r="871" spans="1:3" ht="10.5">
      <c r="A871" s="1" t="s">
        <v>1321</v>
      </c>
      <c r="B871" s="1">
        <v>2</v>
      </c>
      <c r="C871" s="1">
        <v>2500</v>
      </c>
    </row>
    <row r="872" ht="10.5">
      <c r="A872" s="1" t="s">
        <v>1322</v>
      </c>
    </row>
    <row r="873" spans="1:3" ht="10.5">
      <c r="A873" s="1" t="s">
        <v>1323</v>
      </c>
      <c r="B873" s="1">
        <v>8</v>
      </c>
      <c r="C873" s="1">
        <v>500</v>
      </c>
    </row>
    <row r="874" spans="1:3" ht="10.5">
      <c r="A874" s="1" t="s">
        <v>1324</v>
      </c>
      <c r="B874" s="1">
        <v>12</v>
      </c>
      <c r="C874" s="1">
        <v>500</v>
      </c>
    </row>
    <row r="875" spans="1:3" ht="10.5">
      <c r="A875" s="1" t="s">
        <v>1325</v>
      </c>
      <c r="B875" s="1">
        <v>16</v>
      </c>
      <c r="C875" s="1">
        <v>1000</v>
      </c>
    </row>
    <row r="876" ht="10.5">
      <c r="A876" s="1" t="s">
        <v>548</v>
      </c>
    </row>
    <row r="878" ht="10.5">
      <c r="A878" s="4" t="s">
        <v>1326</v>
      </c>
    </row>
    <row r="879" spans="1:29" ht="10.5">
      <c r="A879" s="1" t="str">
        <f>Sheet1!H180</f>
        <v>APDS Rounds</v>
      </c>
      <c r="B879" s="1">
        <f>Sheet1!I180</f>
        <v>15</v>
      </c>
      <c r="AC879" s="1" t="str">
        <f>IF(A879=0,"",CONCATENATE(B879," x ",A879,CHAR(10)))</f>
        <v>15 x APDS Rounds
</v>
      </c>
    </row>
    <row r="880" spans="1:29" ht="10.5">
      <c r="A880" s="1" t="str">
        <f>Sheet1!H181</f>
        <v>Gel Rounds</v>
      </c>
      <c r="B880" s="1">
        <f>Sheet1!I181</f>
        <v>15</v>
      </c>
      <c r="AC880" s="1" t="str">
        <f>IF(A880=0,"",CONCATENATE(B880," x ",A880,CHAR(10)))</f>
        <v>15 x Gel Rounds
</v>
      </c>
    </row>
    <row r="881" spans="1:29" ht="10.5">
      <c r="A881" s="1">
        <f>Sheet1!H182</f>
        <v>0</v>
      </c>
      <c r="B881" s="1">
        <f>Sheet1!I182</f>
        <v>0</v>
      </c>
      <c r="AC881" s="1">
        <f>IF(A881=0,"",CONCATENATE(B881," x ",A881,CHAR(10)))</f>
      </c>
    </row>
    <row r="882" spans="1:29" ht="10.5">
      <c r="A882" s="1">
        <f>Sheet1!H183</f>
        <v>0</v>
      </c>
      <c r="B882" s="1">
        <f>Sheet1!I183</f>
        <v>0</v>
      </c>
      <c r="AC882" s="1">
        <f>IF(A882=0,"",CONCATENATE(B882," x ",A882,CHAR(10)))</f>
      </c>
    </row>
    <row r="883" spans="1:29" ht="10.5">
      <c r="A883" s="1">
        <f>Sheet1!H184</f>
        <v>0</v>
      </c>
      <c r="B883" s="1">
        <f>Sheet1!I184</f>
        <v>0</v>
      </c>
      <c r="AC883" s="1">
        <f>IF(A883=0,"",CONCATENATE(B883," x ",A883,CHAR(10)))</f>
      </c>
    </row>
    <row r="884" spans="1:29" ht="10.5">
      <c r="A884" s="1">
        <f>Sheet1!H185</f>
        <v>0</v>
      </c>
      <c r="B884" s="1">
        <f>Sheet1!I185</f>
        <v>0</v>
      </c>
      <c r="AC884" s="1">
        <f>IF(A884=0,"",CONCATENATE(B884," x ",A884,CHAR(10)))</f>
      </c>
    </row>
    <row r="885" spans="1:29" ht="10.5">
      <c r="A885" s="1">
        <f>Sheet1!H186</f>
        <v>0</v>
      </c>
      <c r="B885" s="1">
        <f>Sheet1!I186</f>
        <v>0</v>
      </c>
      <c r="AC885" s="1">
        <f>IF(A885=0,"",CONCATENATE(B885," x ",A885,CHAR(10)))</f>
      </c>
    </row>
    <row r="887" ht="10.5">
      <c r="A887" s="4" t="s">
        <v>1327</v>
      </c>
    </row>
    <row r="888" spans="1:29" ht="10.5">
      <c r="A888" s="1" t="str">
        <f>Sheet1!A180</f>
        <v>Activesoft (Rating 4)</v>
      </c>
      <c r="AC888" s="1" t="str">
        <f>IF(A888=0,"",CONCATENATE(A888,IF(Sheet1!E180=0,"",CONCATENATE(" - ",Sheet1!E180)),CHAR(10)))</f>
        <v>Activesoft (Rating 4) - Unarmed Combat
</v>
      </c>
    </row>
    <row r="889" spans="1:29" ht="10.5">
      <c r="A889" s="1" t="str">
        <f>Sheet1!A181</f>
        <v>Activesoft (Rating 4)</v>
      </c>
      <c r="AC889" s="1" t="str">
        <f>IF(A889=0,"",CONCATENATE(A889,IF(Sheet1!E181=0,"",CONCATENATE(" - ",Sheet1!E181)),CHAR(10)))</f>
        <v>Activesoft (Rating 4) - Pistols
</v>
      </c>
    </row>
    <row r="890" spans="1:29" ht="10.5">
      <c r="A890" s="1" t="str">
        <f>Sheet1!A182</f>
        <v>Activesoft (Rating 4)</v>
      </c>
      <c r="AC890" s="1" t="str">
        <f>IF(A890=0,"",CONCATENATE(A890,IF(Sheet1!E182=0,"",CONCATENATE(" - ",Sheet1!E182)),CHAR(10)))</f>
        <v>Activesoft (Rating 4) - Hacking
</v>
      </c>
    </row>
    <row r="891" spans="1:29" ht="10.5">
      <c r="A891" s="1" t="str">
        <f>Sheet1!A183</f>
        <v>Activesoft (Rating 3)</v>
      </c>
      <c r="AC891" s="1" t="str">
        <f>IF(A891=0,"",CONCATENATE(A891,IF(Sheet1!E183=0,"",CONCATENATE(" - ",Sheet1!E183)),CHAR(10)))</f>
        <v>Activesoft (Rating 3) - Etiquette
</v>
      </c>
    </row>
    <row r="892" spans="1:29" ht="10.5">
      <c r="A892" s="1" t="str">
        <f>Sheet1!A184</f>
        <v>Activesoft (Rating 4)</v>
      </c>
      <c r="AC892" s="1" t="str">
        <f>IF(A892=0,"",CONCATENATE(A892,IF(Sheet1!E184=0,"",CONCATENATE(" - ",Sheet1!E184)),CHAR(10)))</f>
        <v>Activesoft (Rating 4) - Pilot Aircraft
</v>
      </c>
    </row>
    <row r="893" spans="1:29" ht="10.5">
      <c r="A893" s="1" t="str">
        <f>Sheet1!A185</f>
        <v>Activesoft (Rating 3)</v>
      </c>
      <c r="AC893" s="1" t="str">
        <f>IF(A893=0,"",CONCATENATE(A893,IF(Sheet1!E185=0,"",CONCATENATE(" - ",Sheet1!E185)),CHAR(10)))</f>
        <v>Activesoft (Rating 3) - Pilot Ground Craft
</v>
      </c>
    </row>
    <row r="894" spans="1:29" ht="10.5">
      <c r="A894" s="1" t="str">
        <f>Sheet1!A186</f>
        <v>Activesoft (Rating 3)</v>
      </c>
      <c r="AC894" s="1" t="str">
        <f>IF(A894=0,"",CONCATENATE(A894,IF(Sheet1!E186=0,"",CONCATENATE(" - ",Sheet1!E186)),CHAR(10)))</f>
        <v>Activesoft (Rating 3) - Pilot Watercraft
</v>
      </c>
    </row>
    <row r="895" spans="1:29" ht="10.5">
      <c r="A895" s="1" t="str">
        <f>Sheet1!A187</f>
        <v>Activesoft (Rating 3)</v>
      </c>
      <c r="AC895" s="1" t="str">
        <f>IF(A895=0,"",CONCATENATE(A895,IF(Sheet1!E187=0,"",CONCATENATE(" - ",Sheet1!E187)),CHAR(10)))</f>
        <v>Activesoft (Rating 3) - Hardware
</v>
      </c>
    </row>
    <row r="896" spans="1:29" ht="10.5">
      <c r="A896" s="1" t="str">
        <f>Sheet1!A188</f>
        <v>Activesoft (Rating 3)</v>
      </c>
      <c r="AC896" s="1" t="str">
        <f>IF(A896=0,"",CONCATENATE(A896,IF(Sheet1!E188=0,"",CONCATENATE(" - ",Sheet1!E188)),CHAR(10)))</f>
        <v>Activesoft (Rating 3) - First-Aid
</v>
      </c>
    </row>
    <row r="897" spans="1:29" ht="10.5">
      <c r="A897" s="1" t="str">
        <f>Sheet1!A189</f>
        <v>Activesoft (Rating 3)</v>
      </c>
      <c r="AC897" s="1" t="str">
        <f>IF(A897=0,"",CONCATENATE(A897,IF(Sheet1!E189=0,"",CONCATENATE(" - ",Sheet1!E189)),CHAR(10)))</f>
        <v>Activesoft (Rating 3) - Survival
</v>
      </c>
    </row>
    <row r="898" spans="1:29" ht="10.5">
      <c r="A898" s="1" t="str">
        <f>Sheet1!A190</f>
        <v>Activesoft (Rating 3)</v>
      </c>
      <c r="AC898" s="1" t="str">
        <f>IF(A898=0,"",CONCATENATE(A898,IF(Sheet1!E190=0,"",CONCATENATE(" - ",Sheet1!E190)),CHAR(10)))</f>
        <v>Activesoft (Rating 3) - Navigation
</v>
      </c>
    </row>
    <row r="899" spans="1:29" ht="10.5">
      <c r="A899" s="1" t="str">
        <f>Sheet1!A191</f>
        <v>Activesoft (Rating 3)</v>
      </c>
      <c r="AC899" s="1" t="str">
        <f>IF(A899=0,"",CONCATENATE(A899,IF(Sheet1!E191=0,"",CONCATENATE(" - ",Sheet1!E191)),CHAR(10)))</f>
        <v>Activesoft (Rating 3) - Tracking
</v>
      </c>
    </row>
    <row r="900" spans="1:29" ht="10.5">
      <c r="A900" s="1" t="str">
        <f>Sheet1!A192</f>
        <v>Activesoft (Rating 3)</v>
      </c>
      <c r="AC900" s="1" t="str">
        <f>IF(A900=0,"",CONCATENATE(A900,IF(Sheet1!E192=0,"",CONCATENATE(" - ",Sheet1!E192)),CHAR(10)))</f>
        <v>Activesoft (Rating 3) - Automotive Mechanic
</v>
      </c>
    </row>
    <row r="901" spans="1:29" ht="10.5">
      <c r="A901" s="1" t="str">
        <f>Sheet1!A193</f>
        <v>Activesoft (Rating 4)</v>
      </c>
      <c r="AC901" s="1" t="str">
        <f>IF(A901=0,"",CONCATENATE(A901,IF(Sheet1!E195=0,"",CONCATENATE(" - ",Sheet1!E195)),CHAR(10)))</f>
        <v>Activesoft (Rating 4) - Security Design
</v>
      </c>
    </row>
    <row r="902" spans="1:29" ht="10.5">
      <c r="A902" s="1" t="str">
        <f>Sheet1!A194</f>
        <v>Activesoft (Rating 3)</v>
      </c>
      <c r="AC902" s="1" t="str">
        <f>IF(A902=0,"",CONCATENATE(A902,IF(Sheet1!E194=0,"",CONCATENATE(" - ",Sheet1!E194)),CHAR(10)))</f>
        <v>Activesoft (Rating 3) - Blades
</v>
      </c>
    </row>
    <row r="903" spans="1:29" ht="10.5">
      <c r="A903" s="1" t="str">
        <f>Sheet1!A195</f>
        <v>Knowsoft (Rating 5)</v>
      </c>
      <c r="AC903" s="1" t="str">
        <f>IF(A903=0,"",CONCATENATE(A903,IF(Sheet1!E195=0,"",CONCATENATE(" - ",Sheet1!E195)),CHAR(10)))</f>
        <v>Knowsoft (Rating 5) - Security Design
</v>
      </c>
    </row>
    <row r="904" spans="1:29" ht="10.5">
      <c r="A904" s="1">
        <f>Sheet1!A196</f>
        <v>0</v>
      </c>
      <c r="AC904" s="1">
        <f>IF(A904=0,"",CONCATENATE(A904,IF(Sheet1!E196=0,"",CONCATENATE(" - ",Sheet1!E196)),CHAR(10)))</f>
      </c>
    </row>
    <row r="905" spans="1:29" ht="10.5">
      <c r="A905" s="1">
        <f>Sheet1!A197</f>
        <v>0</v>
      </c>
      <c r="AC905" s="1">
        <f>IF(A905=0,"",CONCATENATE(A905,IF(Sheet1!E197=0,"",CONCATENATE(" - ",Sheet1!E197)),CHAR(10)))</f>
      </c>
    </row>
    <row r="906" spans="1:29" ht="10.5">
      <c r="A906" s="1" t="str">
        <f>Sheet1!A198</f>
        <v>Subvocal Microphone</v>
      </c>
      <c r="AC906" s="1" t="str">
        <f>IF(A906=0,"",CONCATENATE(A906,IF(Sheet1!E198=0,"",CONCATENATE(" - ",Sheet1!E198)),CHAR(10)))</f>
        <v>Subvocal Microphone
</v>
      </c>
    </row>
    <row r="907" spans="1:29" ht="10.5">
      <c r="A907" s="1" t="str">
        <f>Sheet1!A199</f>
        <v>Contact Lenses</v>
      </c>
      <c r="AC907" s="1" t="str">
        <f>IF(A907=0,"",CONCATENATE(A907,IF(Sheet1!E199=0,"",CONCATENATE(" - ",Sheet1!E199)),CHAR(10)))</f>
        <v>Contact Lenses
</v>
      </c>
    </row>
    <row r="908" spans="1:29" ht="10.5">
      <c r="A908" s="1" t="str">
        <f>Sheet1!A200</f>
        <v>  + Image Link</v>
      </c>
      <c r="AC908" s="1" t="str">
        <f>IF(A908=0,"",CONCATENATE(A908,IF(Sheet1!E200=0,"",CONCATENATE(" - ",Sheet1!E200)),CHAR(10)))</f>
        <v>  + Image Link
</v>
      </c>
    </row>
    <row r="909" spans="1:29" ht="10.5">
      <c r="A909" s="1" t="str">
        <f>Sheet1!A201</f>
        <v>  + Thermographic</v>
      </c>
      <c r="AC909" s="1" t="str">
        <f>IF(A909=0,"",CONCATENATE(A909,IF(Sheet1!E201=0,"",CONCATENATE(" - ",Sheet1!E201)),CHAR(10)))</f>
        <v>  + Thermographic
</v>
      </c>
    </row>
    <row r="910" spans="1:29" ht="10.5">
      <c r="A910" s="1" t="str">
        <f>Sheet1!A202</f>
        <v>  + Flare Compensation</v>
      </c>
      <c r="AC910" s="1" t="str">
        <f>IF(A910=0,"",CONCATENATE(A910,IF(Sheet1!E202=0,"",CONCATENATE(" - ",Sheet1!E202)),CHAR(10)))</f>
        <v>  + Flare Compensation
</v>
      </c>
    </row>
    <row r="911" spans="1:29" ht="10.5">
      <c r="A911" s="1" t="str">
        <f>Sheet1!A203</f>
        <v>  + Vision Magnification</v>
      </c>
      <c r="AC911" s="1" t="str">
        <f>IF(A911=0,"",CONCATENATE(A911,IF(Sheet1!E203=0,"",CONCATENATE(" - ",Sheet1!E203)),CHAR(10)))</f>
        <v>  + Vision Magnification
</v>
      </c>
    </row>
    <row r="912" spans="1:29" ht="10.5">
      <c r="A912" s="1" t="str">
        <f>Sheet1!A204</f>
        <v>  + Low Light</v>
      </c>
      <c r="AC912" s="1" t="str">
        <f>IF(A912=0,"",CONCATENATE(A912,IF(Sheet1!E204=0,"",CONCATENATE(" - ",Sheet1!E204)),CHAR(10)))</f>
        <v>  + Low Light
</v>
      </c>
    </row>
    <row r="913" spans="1:29" ht="10.5">
      <c r="A913" s="1" t="str">
        <f>Sheet1!A205</f>
        <v>  + Smartlink</v>
      </c>
      <c r="AC913" s="1" t="str">
        <f>IF(A913=0,"",CONCATENATE(A913,IF(Sheet1!E205=0,"",CONCATENATE(" - ",Sheet1!E205)),CHAR(10)))</f>
        <v>  + Smartlink
</v>
      </c>
    </row>
    <row r="914" spans="1:29" ht="10.5">
      <c r="A914" s="1" t="str">
        <f>Sheet1!A206</f>
        <v>  + Vision Enhancement III</v>
      </c>
      <c r="AC914" s="1" t="str">
        <f>IF(A914=0,"",CONCATENATE(A914,IF(Sheet1!E206=0,"",CONCATENATE(" - ",Sheet1!E206)),CHAR(10)))</f>
        <v>  + Vision Enhancement III
</v>
      </c>
    </row>
    <row r="915" ht="10.5">
      <c r="A915" s="1">
        <f>IF(Sheet1!B254&gt;0,CONCATENATE("Magical Lodge Materials (Force ",Sheet1!B254,")",CHAR(10)),"")</f>
      </c>
    </row>
    <row r="917" ht="10.5">
      <c r="A917" s="1" t="str">
        <f>CONCATENATE(AC888,AC889,AC890,AC891,AC892,AC893,AC894,AC895,AC896,AC897,AC898,AC899,AC900,AC901)</f>
        <v>Activesoft (Rating 4) - Unarmed Combat
Activesoft (Rating 4) - Pistols
Activesoft (Rating 4) - Hacking
Activesoft (Rating 3) - Etiquette
Activesoft (Rating 4) - Pilot Aircraft
Activesoft (Rating 3) - Pilot Ground Craft
Activesoft (Rating 3) - Pilot Watercraft
Activesoft (Rating 3) - Hardware
Activesoft (Rating 3) - First-Aid
Activesoft (Rating 3) - Survival
Activesoft (Rating 3) - Navigation
Activesoft (Rating 3) - Tracking
Activesoft (Rating 3) - Automotive Mechanic
Activesoft (Rating 4) - Security Design
</v>
      </c>
    </row>
    <row r="918" ht="10.5">
      <c r="A918" s="1" t="str">
        <f>CONCATENATE(AC902,AC903,AC903,AC905,AC906,AC907,AC908,AC909,AC910,AC911,AC912,AC913,AC914,A915)</f>
        <v>Activesoft (Rating 3) - Blades
Knowsoft (Rating 5) - Security Design
Knowsoft (Rating 5) - Security Design
Subvocal Microphone
Contact Lenses
  + Image Link
  + Thermographic
  + Flare Compensation
  + Vision Magnification
  + Low Light
  + Smartlink
  + Vision Enhancement III
</v>
      </c>
    </row>
    <row r="919" ht="10.5">
      <c r="A919" s="1" t="str">
        <f>CONCATENATE(AC879,AC880,AC881,AC882,AC883,AC884,AC885)</f>
        <v>15 x APDS Rounds
15 x Gel Rounds
</v>
      </c>
    </row>
    <row r="920" ht="10.5">
      <c r="A920" s="1" t="str">
        <f>CONCATENATE(A917,A918,A447,A919)</f>
        <v>Activesoft (Rating 4) - Unarmed Combat
Activesoft (Rating 4) - Pistols
Activesoft (Rating 4) - Hacking
Activesoft (Rating 3) - Etiquette
Activesoft (Rating 4) - Pilot Aircraft
Activesoft (Rating 3) - Pilot Ground Craft
Activesoft (Rating 3) - Pilot Watercraft
Activesoft (Rating 3) - Hardware
Activesoft (Rating 3) - First-Aid
Activesoft (Rating 3) - Survival
Activesoft (Rating 3) - Navigation
Activesoft (Rating 3) - Tracking
Activesoft (Rating 3) - Automotive Mechanic
Activesoft (Rating 4) - Security Design
Activesoft (Rating 3) - Blades
Knowsoft (Rating 5) - Security Design
Knowsoft (Rating 5) - Security Design
Subvocal Microphone
Contact Lenses
  + Image Link
  + Thermographic
  + Flare Compensation
  + Vision Magnification
  + Low Light
  + Smartlink
  + Vision Enhancement III
Ares Predator IV
15 x APDS Rounds
15 x Gel Rounds
</v>
      </c>
    </row>
    <row r="922" spans="1:18" ht="10.5">
      <c r="A922" s="4" t="s">
        <v>1328</v>
      </c>
      <c r="B922" s="4" t="s">
        <v>22</v>
      </c>
      <c r="C922" s="4" t="s">
        <v>561</v>
      </c>
      <c r="D922" s="4" t="s">
        <v>562</v>
      </c>
      <c r="E922" s="4" t="s">
        <v>563</v>
      </c>
      <c r="F922" s="4" t="s">
        <v>564</v>
      </c>
      <c r="G922" s="4" t="s">
        <v>565</v>
      </c>
      <c r="H922" s="4" t="s">
        <v>566</v>
      </c>
      <c r="I922" s="4" t="s">
        <v>567</v>
      </c>
      <c r="J922" s="4" t="s">
        <v>568</v>
      </c>
      <c r="K922" s="4" t="s">
        <v>569</v>
      </c>
      <c r="L922" s="4" t="s">
        <v>570</v>
      </c>
      <c r="M922" s="4" t="s">
        <v>571</v>
      </c>
      <c r="N922" s="4"/>
      <c r="O922" s="4" t="s">
        <v>572</v>
      </c>
      <c r="P922" s="4" t="s">
        <v>1329</v>
      </c>
      <c r="R922" s="4" t="s">
        <v>1330</v>
      </c>
    </row>
    <row r="923" spans="1:18" ht="10.5">
      <c r="A923" s="1">
        <f>Sheet1!A229</f>
        <v>0</v>
      </c>
      <c r="B923" s="1">
        <f>IF(ISERROR(VLOOKUP($A923,AdeptPowerTable,6,FALSE))=TRUE,0,VLOOKUP($A923,AdeptPowerTable,6,FALSE))*Sheet1!$C229</f>
        <v>0</v>
      </c>
      <c r="C923" s="1">
        <f>IF(ISERROR(VLOOKUP($A923,AdeptPowerTable,7,FALSE))=TRUE,0,VLOOKUP($A923,AdeptPowerTable,7,FALSE))*Sheet1!$C229</f>
        <v>0</v>
      </c>
      <c r="D923" s="1">
        <f>IF(ISERROR(VLOOKUP($A923,AdeptPowerTable,8,FALSE))=TRUE,0,VLOOKUP($A923,AdeptPowerTable,8,FALSE))*Sheet1!$C229</f>
        <v>0</v>
      </c>
      <c r="E923" s="1">
        <f>IF(ISERROR(VLOOKUP($A923,AdeptPowerTable,9,FALSE))=TRUE,0,VLOOKUP($A923,AdeptPowerTable,9,FALSE))*Sheet1!$C229</f>
        <v>0</v>
      </c>
      <c r="F923" s="1">
        <f>IF(ISERROR(VLOOKUP($A923,AdeptPowerTable,10,FALSE))=TRUE,0,VLOOKUP($A923,AdeptPowerTable,10,FALSE))*Sheet1!$C229</f>
        <v>0</v>
      </c>
      <c r="G923" s="1">
        <f>IF(ISERROR(VLOOKUP($A923,AdeptPowerTable,11,FALSE))=TRUE,0,VLOOKUP($A923,AdeptPowerTable,11,FALSE))*Sheet1!$C229</f>
        <v>0</v>
      </c>
      <c r="H923" s="1">
        <f>IF(ISERROR(VLOOKUP($A923,AdeptPowerTable,12,FALSE))=TRUE,0,VLOOKUP($A923,AdeptPowerTable,12,FALSE))*Sheet1!$C229</f>
        <v>0</v>
      </c>
      <c r="I923" s="1">
        <f>IF(ISERROR(VLOOKUP($A923,AdeptPowerTable,13,FALSE))=TRUE,0,VLOOKUP($A923,AdeptPowerTable,13,FALSE))*Sheet1!$C229</f>
        <v>0</v>
      </c>
      <c r="J923" s="1">
        <f>IF(ISERROR(VLOOKUP($A923,AdeptPowerTable,14,FALSE))=TRUE,0,VLOOKUP($A923,AdeptPowerTable,14,FALSE))*Sheet1!$C229</f>
        <v>0</v>
      </c>
      <c r="K923" s="1">
        <f>IF(ISERROR(VLOOKUP($A923,AdeptPowerTable,15,FALSE))=TRUE,0,VLOOKUP($A923,AdeptPowerTable,15,FALSE))*Sheet1!$C229</f>
        <v>0</v>
      </c>
      <c r="L923" s="1">
        <f>IF(ISERROR(VLOOKUP($A923,AdeptPowerTable,16,FALSE))=TRUE,0,VLOOKUP($A923,AdeptPowerTable,16,FALSE))*Sheet1!$C229</f>
        <v>0</v>
      </c>
      <c r="M923" s="1">
        <f>IF(ISERROR(VLOOKUP($A923,AdeptPowerTable,17,FALSE))=TRUE,0,VLOOKUP($A923,AdeptPowerTable,17,FALSE))*Sheet1!$C229</f>
        <v>0</v>
      </c>
      <c r="N923" s="1">
        <f>IF(ISERROR(VLOOKUP($A923,AdeptPowerTable,18,FALSE))=TRUE,0,VLOOKUP($A923,AdeptPowerTable,18,FALSE))*Sheet1!$C229</f>
        <v>0</v>
      </c>
      <c r="O923" s="1">
        <f>IF(ISERROR(VLOOKUP($A923,AdeptPowerTable,19,FALSE))=TRUE,0,VLOOKUP($A923,AdeptPowerTable,19,FALSE))*Sheet1!$C229</f>
        <v>0</v>
      </c>
      <c r="P923" s="1">
        <f>IF(ISERROR(VLOOKUP($A923,AdeptPowerTable,20,FALSE))=TRUE,0,VLOOKUP($A923,AdeptPowerTable,20,FALSE))</f>
        <v>0</v>
      </c>
      <c r="Q923" s="1">
        <f>IF(ISERROR(VLOOKUP($A923,AdeptPowerTable,3,FALSE))=TRUE,0,VLOOKUP($A923,AdeptPowerTable,3,FALSE))</f>
        <v>0</v>
      </c>
      <c r="R923" s="1">
        <f>IF(P923=1,CONCATENATE("+",Sheet1!$C229," ",Q923),Q923)</f>
        <v>0</v>
      </c>
    </row>
    <row r="924" spans="1:18" ht="10.5">
      <c r="A924" s="1">
        <f>Sheet1!A230</f>
        <v>0</v>
      </c>
      <c r="B924" s="1">
        <f>IF(ISERROR(VLOOKUP($A924,AdeptPowerTable,6,FALSE))=TRUE,0,VLOOKUP($A924,AdeptPowerTable,6,FALSE))*Sheet1!$C230</f>
        <v>0</v>
      </c>
      <c r="C924" s="1">
        <f>IF(ISERROR(VLOOKUP($A924,AdeptPowerTable,7,FALSE))=TRUE,0,VLOOKUP($A924,AdeptPowerTable,7,FALSE))*Sheet1!$C230</f>
        <v>0</v>
      </c>
      <c r="D924" s="1">
        <f>IF(ISERROR(VLOOKUP($A924,AdeptPowerTable,8,FALSE))=TRUE,0,VLOOKUP($A924,AdeptPowerTable,8,FALSE))*Sheet1!$C230</f>
        <v>0</v>
      </c>
      <c r="E924" s="1">
        <f>IF(ISERROR(VLOOKUP($A924,AdeptPowerTable,9,FALSE))=TRUE,0,VLOOKUP($A924,AdeptPowerTable,9,FALSE))*Sheet1!$C230</f>
        <v>0</v>
      </c>
      <c r="F924" s="1">
        <f>IF(ISERROR(VLOOKUP($A924,AdeptPowerTable,10,FALSE))=TRUE,0,VLOOKUP($A924,AdeptPowerTable,10,FALSE))*Sheet1!$C230</f>
        <v>0</v>
      </c>
      <c r="G924" s="1">
        <f>IF(ISERROR(VLOOKUP($A924,AdeptPowerTable,11,FALSE))=TRUE,0,VLOOKUP($A924,AdeptPowerTable,11,FALSE))*Sheet1!$C230</f>
        <v>0</v>
      </c>
      <c r="H924" s="1">
        <f>IF(ISERROR(VLOOKUP($A924,AdeptPowerTable,12,FALSE))=TRUE,0,VLOOKUP($A924,AdeptPowerTable,12,FALSE))*Sheet1!$C230</f>
        <v>0</v>
      </c>
      <c r="I924" s="1">
        <f>IF(ISERROR(VLOOKUP($A924,AdeptPowerTable,13,FALSE))=TRUE,0,VLOOKUP($A924,AdeptPowerTable,13,FALSE))*Sheet1!$C230</f>
        <v>0</v>
      </c>
      <c r="J924" s="1">
        <f>IF(ISERROR(VLOOKUP($A924,AdeptPowerTable,14,FALSE))=TRUE,0,VLOOKUP($A924,AdeptPowerTable,14,FALSE))*Sheet1!$C230</f>
        <v>0</v>
      </c>
      <c r="K924" s="1">
        <f>IF(ISERROR(VLOOKUP($A924,AdeptPowerTable,15,FALSE))=TRUE,0,VLOOKUP($A924,AdeptPowerTable,15,FALSE))*Sheet1!$C230</f>
        <v>0</v>
      </c>
      <c r="L924" s="1">
        <f>IF(ISERROR(VLOOKUP($A924,AdeptPowerTable,16,FALSE))=TRUE,0,VLOOKUP($A924,AdeptPowerTable,16,FALSE))*Sheet1!$C230</f>
        <v>0</v>
      </c>
      <c r="M924" s="1">
        <f>IF(ISERROR(VLOOKUP($A924,AdeptPowerTable,17,FALSE))=TRUE,0,VLOOKUP($A924,AdeptPowerTable,17,FALSE))*Sheet1!$C230</f>
        <v>0</v>
      </c>
      <c r="N924" s="1">
        <f>IF(ISERROR(VLOOKUP($A924,AdeptPowerTable,18,FALSE))=TRUE,0,VLOOKUP($A924,AdeptPowerTable,18,FALSE))*Sheet1!$C230</f>
        <v>0</v>
      </c>
      <c r="O924" s="1">
        <f>IF(ISERROR(VLOOKUP($A924,AdeptPowerTable,19,FALSE))=TRUE,0,VLOOKUP($A924,AdeptPowerTable,19,FALSE))*Sheet1!$C230</f>
        <v>0</v>
      </c>
      <c r="P924" s="1">
        <f>IF(ISERROR(VLOOKUP($A924,AdeptPowerTable,20,FALSE))=TRUE,0,VLOOKUP($A924,AdeptPowerTable,20,FALSE))</f>
        <v>0</v>
      </c>
      <c r="Q924" s="1">
        <f>IF(ISERROR(VLOOKUP($A924,AdeptPowerTable,3,FALSE))=TRUE,0,VLOOKUP($A924,AdeptPowerTable,3,FALSE))</f>
        <v>0</v>
      </c>
      <c r="R924" s="1">
        <f>IF(P924=1,CONCATENATE("+",Sheet1!$C230," ",Q924),Q924)</f>
        <v>0</v>
      </c>
    </row>
    <row r="925" spans="1:18" ht="10.5">
      <c r="A925" s="1">
        <f>Sheet1!A231</f>
        <v>0</v>
      </c>
      <c r="B925" s="1">
        <f>IF(ISERROR(VLOOKUP($A925,AdeptPowerTable,6,FALSE))=TRUE,0,VLOOKUP($A925,AdeptPowerTable,6,FALSE))*Sheet1!$C231</f>
        <v>0</v>
      </c>
      <c r="C925" s="1">
        <f>IF(ISERROR(VLOOKUP($A925,AdeptPowerTable,7,FALSE))=TRUE,0,VLOOKUP($A925,AdeptPowerTable,7,FALSE))*Sheet1!$C231</f>
        <v>0</v>
      </c>
      <c r="D925" s="1">
        <f>IF(ISERROR(VLOOKUP($A925,AdeptPowerTable,8,FALSE))=TRUE,0,VLOOKUP($A925,AdeptPowerTable,8,FALSE))*Sheet1!$C231</f>
        <v>0</v>
      </c>
      <c r="E925" s="1">
        <f>IF(ISERROR(VLOOKUP($A925,AdeptPowerTable,9,FALSE))=TRUE,0,VLOOKUP($A925,AdeptPowerTable,9,FALSE))*Sheet1!$C231</f>
        <v>0</v>
      </c>
      <c r="F925" s="1">
        <f>IF(ISERROR(VLOOKUP($A925,AdeptPowerTable,10,FALSE))=TRUE,0,VLOOKUP($A925,AdeptPowerTable,10,FALSE))*Sheet1!$C231</f>
        <v>0</v>
      </c>
      <c r="G925" s="1">
        <f>IF(ISERROR(VLOOKUP($A925,AdeptPowerTable,11,FALSE))=TRUE,0,VLOOKUP($A925,AdeptPowerTable,11,FALSE))*Sheet1!$C231</f>
        <v>0</v>
      </c>
      <c r="H925" s="1">
        <f>IF(ISERROR(VLOOKUP($A925,AdeptPowerTable,12,FALSE))=TRUE,0,VLOOKUP($A925,AdeptPowerTable,12,FALSE))*Sheet1!$C231</f>
        <v>0</v>
      </c>
      <c r="I925" s="1">
        <f>IF(ISERROR(VLOOKUP($A925,AdeptPowerTable,13,FALSE))=TRUE,0,VLOOKUP($A925,AdeptPowerTable,13,FALSE))*Sheet1!$C231</f>
        <v>0</v>
      </c>
      <c r="J925" s="1">
        <f>IF(ISERROR(VLOOKUP($A925,AdeptPowerTable,14,FALSE))=TRUE,0,VLOOKUP($A925,AdeptPowerTable,14,FALSE))*Sheet1!$C231</f>
        <v>0</v>
      </c>
      <c r="K925" s="1">
        <f>IF(ISERROR(VLOOKUP($A925,AdeptPowerTable,15,FALSE))=TRUE,0,VLOOKUP($A925,AdeptPowerTable,15,FALSE))*Sheet1!$C231</f>
        <v>0</v>
      </c>
      <c r="L925" s="1">
        <f>IF(ISERROR(VLOOKUP($A925,AdeptPowerTable,16,FALSE))=TRUE,0,VLOOKUP($A925,AdeptPowerTable,16,FALSE))*Sheet1!$C231</f>
        <v>0</v>
      </c>
      <c r="M925" s="1">
        <f>IF(ISERROR(VLOOKUP($A925,AdeptPowerTable,17,FALSE))=TRUE,0,VLOOKUP($A925,AdeptPowerTable,17,FALSE))*Sheet1!$C231</f>
        <v>0</v>
      </c>
      <c r="N925" s="1">
        <f>IF(ISERROR(VLOOKUP($A925,AdeptPowerTable,18,FALSE))=TRUE,0,VLOOKUP($A925,AdeptPowerTable,18,FALSE))*Sheet1!$C231</f>
        <v>0</v>
      </c>
      <c r="O925" s="1">
        <f>IF(ISERROR(VLOOKUP($A925,AdeptPowerTable,19,FALSE))=TRUE,0,VLOOKUP($A925,AdeptPowerTable,19,FALSE))*Sheet1!$C231</f>
        <v>0</v>
      </c>
      <c r="P925" s="1">
        <f>IF(ISERROR(VLOOKUP($A925,AdeptPowerTable,20,FALSE))=TRUE,0,VLOOKUP($A925,AdeptPowerTable,20,FALSE))</f>
        <v>0</v>
      </c>
      <c r="Q925" s="1">
        <f>IF(ISERROR(VLOOKUP($A925,AdeptPowerTable,3,FALSE))=TRUE,0,VLOOKUP($A925,AdeptPowerTable,3,FALSE))</f>
        <v>0</v>
      </c>
      <c r="R925" s="1">
        <f>IF(P925=1,CONCATENATE("+",Sheet1!$C231," ",Q925),Q925)</f>
        <v>0</v>
      </c>
    </row>
    <row r="926" spans="1:18" ht="10.5">
      <c r="A926" s="1">
        <f>Sheet1!A232</f>
        <v>0</v>
      </c>
      <c r="B926" s="1">
        <f>IF(ISERROR(VLOOKUP($A926,AdeptPowerTable,6,FALSE))=TRUE,0,VLOOKUP($A926,AdeptPowerTable,6,FALSE))*Sheet1!$C232</f>
        <v>0</v>
      </c>
      <c r="C926" s="1">
        <f>IF(ISERROR(VLOOKUP($A926,AdeptPowerTable,7,FALSE))=TRUE,0,VLOOKUP($A926,AdeptPowerTable,7,FALSE))*Sheet1!$C232</f>
        <v>0</v>
      </c>
      <c r="D926" s="1">
        <f>IF(ISERROR(VLOOKUP($A926,AdeptPowerTable,8,FALSE))=TRUE,0,VLOOKUP($A926,AdeptPowerTable,8,FALSE))*Sheet1!$C232</f>
        <v>0</v>
      </c>
      <c r="E926" s="1">
        <f>IF(ISERROR(VLOOKUP($A926,AdeptPowerTable,9,FALSE))=TRUE,0,VLOOKUP($A926,AdeptPowerTable,9,FALSE))*Sheet1!$C232</f>
        <v>0</v>
      </c>
      <c r="F926" s="1">
        <f>IF(ISERROR(VLOOKUP($A926,AdeptPowerTable,10,FALSE))=TRUE,0,VLOOKUP($A926,AdeptPowerTable,10,FALSE))*Sheet1!$C232</f>
        <v>0</v>
      </c>
      <c r="G926" s="1">
        <f>IF(ISERROR(VLOOKUP($A926,AdeptPowerTable,11,FALSE))=TRUE,0,VLOOKUP($A926,AdeptPowerTable,11,FALSE))*Sheet1!$C232</f>
        <v>0</v>
      </c>
      <c r="H926" s="1">
        <f>IF(ISERROR(VLOOKUP($A926,AdeptPowerTable,12,FALSE))=TRUE,0,VLOOKUP($A926,AdeptPowerTable,12,FALSE))*Sheet1!$C232</f>
        <v>0</v>
      </c>
      <c r="I926" s="1">
        <f>IF(ISERROR(VLOOKUP($A926,AdeptPowerTable,13,FALSE))=TRUE,0,VLOOKUP($A926,AdeptPowerTable,13,FALSE))*Sheet1!$C232</f>
        <v>0</v>
      </c>
      <c r="J926" s="1">
        <f>IF(ISERROR(VLOOKUP($A926,AdeptPowerTable,14,FALSE))=TRUE,0,VLOOKUP($A926,AdeptPowerTable,14,FALSE))*Sheet1!$C232</f>
        <v>0</v>
      </c>
      <c r="K926" s="1">
        <f>IF(ISERROR(VLOOKUP($A926,AdeptPowerTable,15,FALSE))=TRUE,0,VLOOKUP($A926,AdeptPowerTable,15,FALSE))*Sheet1!$C232</f>
        <v>0</v>
      </c>
      <c r="L926" s="1">
        <f>IF(ISERROR(VLOOKUP($A926,AdeptPowerTable,16,FALSE))=TRUE,0,VLOOKUP($A926,AdeptPowerTable,16,FALSE))*Sheet1!$C232</f>
        <v>0</v>
      </c>
      <c r="M926" s="1">
        <f>IF(ISERROR(VLOOKUP($A926,AdeptPowerTable,17,FALSE))=TRUE,0,VLOOKUP($A926,AdeptPowerTable,17,FALSE))*Sheet1!$C232</f>
        <v>0</v>
      </c>
      <c r="N926" s="1">
        <f>IF(ISERROR(VLOOKUP($A926,AdeptPowerTable,18,FALSE))=TRUE,0,VLOOKUP($A926,AdeptPowerTable,18,FALSE))*Sheet1!$C232</f>
        <v>0</v>
      </c>
      <c r="O926" s="1">
        <f>IF(ISERROR(VLOOKUP($A926,AdeptPowerTable,19,FALSE))=TRUE,0,VLOOKUP($A926,AdeptPowerTable,19,FALSE))*Sheet1!$C232</f>
        <v>0</v>
      </c>
      <c r="P926" s="1">
        <f>IF(ISERROR(VLOOKUP($A926,AdeptPowerTable,20,FALSE))=TRUE,0,VLOOKUP($A926,AdeptPowerTable,20,FALSE))</f>
        <v>0</v>
      </c>
      <c r="Q926" s="1">
        <f>IF(ISERROR(VLOOKUP($A926,AdeptPowerTable,3,FALSE))=TRUE,0,VLOOKUP($A926,AdeptPowerTable,3,FALSE))</f>
        <v>0</v>
      </c>
      <c r="R926" s="1">
        <f>IF(P926=1,CONCATENATE("+",Sheet1!$C232," ",Q926),Q926)</f>
        <v>0</v>
      </c>
    </row>
    <row r="927" spans="1:18" ht="10.5">
      <c r="A927" s="1">
        <f>Sheet1!A233</f>
        <v>0</v>
      </c>
      <c r="B927" s="1">
        <f>IF(ISERROR(VLOOKUP($A927,AdeptPowerTable,6,FALSE))=TRUE,0,VLOOKUP($A927,AdeptPowerTable,6,FALSE))*Sheet1!$C233</f>
        <v>0</v>
      </c>
      <c r="C927" s="1">
        <f>IF(ISERROR(VLOOKUP($A927,AdeptPowerTable,7,FALSE))=TRUE,0,VLOOKUP($A927,AdeptPowerTable,7,FALSE))*Sheet1!$C233</f>
        <v>0</v>
      </c>
      <c r="D927" s="1">
        <f>IF(ISERROR(VLOOKUP($A927,AdeptPowerTable,8,FALSE))=TRUE,0,VLOOKUP($A927,AdeptPowerTable,8,FALSE))*Sheet1!$C233</f>
        <v>0</v>
      </c>
      <c r="E927" s="1">
        <f>IF(ISERROR(VLOOKUP($A927,AdeptPowerTable,9,FALSE))=TRUE,0,VLOOKUP($A927,AdeptPowerTable,9,FALSE))*Sheet1!$C233</f>
        <v>0</v>
      </c>
      <c r="F927" s="1">
        <f>IF(ISERROR(VLOOKUP($A927,AdeptPowerTable,10,FALSE))=TRUE,0,VLOOKUP($A927,AdeptPowerTable,10,FALSE))*Sheet1!$C233</f>
        <v>0</v>
      </c>
      <c r="G927" s="1">
        <f>IF(ISERROR(VLOOKUP($A927,AdeptPowerTable,11,FALSE))=TRUE,0,VLOOKUP($A927,AdeptPowerTable,11,FALSE))*Sheet1!$C233</f>
        <v>0</v>
      </c>
      <c r="H927" s="1">
        <f>IF(ISERROR(VLOOKUP($A927,AdeptPowerTable,12,FALSE))=TRUE,0,VLOOKUP($A927,AdeptPowerTable,12,FALSE))*Sheet1!$C233</f>
        <v>0</v>
      </c>
      <c r="I927" s="1">
        <f>IF(ISERROR(VLOOKUP($A927,AdeptPowerTable,13,FALSE))=TRUE,0,VLOOKUP($A927,AdeptPowerTable,13,FALSE))*Sheet1!$C233</f>
        <v>0</v>
      </c>
      <c r="J927" s="1">
        <f>IF(ISERROR(VLOOKUP($A927,AdeptPowerTable,14,FALSE))=TRUE,0,VLOOKUP($A927,AdeptPowerTable,14,FALSE))*Sheet1!$C233</f>
        <v>0</v>
      </c>
      <c r="K927" s="1">
        <f>IF(ISERROR(VLOOKUP($A927,AdeptPowerTable,15,FALSE))=TRUE,0,VLOOKUP($A927,AdeptPowerTable,15,FALSE))*Sheet1!$C233</f>
        <v>0</v>
      </c>
      <c r="L927" s="1">
        <f>IF(ISERROR(VLOOKUP($A927,AdeptPowerTable,16,FALSE))=TRUE,0,VLOOKUP($A927,AdeptPowerTable,16,FALSE))*Sheet1!$C233</f>
        <v>0</v>
      </c>
      <c r="M927" s="1">
        <f>IF(ISERROR(VLOOKUP($A927,AdeptPowerTable,17,FALSE))=TRUE,0,VLOOKUP($A927,AdeptPowerTable,17,FALSE))*Sheet1!$C233</f>
        <v>0</v>
      </c>
      <c r="N927" s="1">
        <f>IF(ISERROR(VLOOKUP($A927,AdeptPowerTable,18,FALSE))=TRUE,0,VLOOKUP($A927,AdeptPowerTable,18,FALSE))*Sheet1!$C233</f>
        <v>0</v>
      </c>
      <c r="O927" s="1">
        <f>IF(ISERROR(VLOOKUP($A927,AdeptPowerTable,19,FALSE))=TRUE,0,VLOOKUP($A927,AdeptPowerTable,19,FALSE))*Sheet1!$C233</f>
        <v>0</v>
      </c>
      <c r="P927" s="1">
        <f>IF(ISERROR(VLOOKUP($A927,AdeptPowerTable,20,FALSE))=TRUE,0,VLOOKUP($A927,AdeptPowerTable,20,FALSE))</f>
        <v>0</v>
      </c>
      <c r="Q927" s="1">
        <f>IF(ISERROR(VLOOKUP($A927,AdeptPowerTable,3,FALSE))=TRUE,0,VLOOKUP($A927,AdeptPowerTable,3,FALSE))</f>
        <v>0</v>
      </c>
      <c r="R927" s="1">
        <f>IF(P927=1,CONCATENATE("+",Sheet1!$C233," ",Q927),Q927)</f>
        <v>0</v>
      </c>
    </row>
    <row r="928" spans="1:18" ht="10.5">
      <c r="A928" s="1">
        <f>Sheet1!A234</f>
        <v>0</v>
      </c>
      <c r="B928" s="1">
        <f>IF(ISERROR(VLOOKUP($A928,AdeptPowerTable,6,FALSE))=TRUE,0,VLOOKUP($A928,AdeptPowerTable,6,FALSE))*Sheet1!$C234</f>
        <v>0</v>
      </c>
      <c r="C928" s="1">
        <f>IF(ISERROR(VLOOKUP($A928,AdeptPowerTable,7,FALSE))=TRUE,0,VLOOKUP($A928,AdeptPowerTable,7,FALSE))*Sheet1!$C234</f>
        <v>0</v>
      </c>
      <c r="D928" s="1">
        <f>IF(ISERROR(VLOOKUP($A928,AdeptPowerTable,8,FALSE))=TRUE,0,VLOOKUP($A928,AdeptPowerTable,8,FALSE))*Sheet1!$C234</f>
        <v>0</v>
      </c>
      <c r="E928" s="1">
        <f>IF(ISERROR(VLOOKUP($A928,AdeptPowerTable,9,FALSE))=TRUE,0,VLOOKUP($A928,AdeptPowerTable,9,FALSE))*Sheet1!$C234</f>
        <v>0</v>
      </c>
      <c r="F928" s="1">
        <f>IF(ISERROR(VLOOKUP($A928,AdeptPowerTable,10,FALSE))=TRUE,0,VLOOKUP($A928,AdeptPowerTable,10,FALSE))*Sheet1!$C234</f>
        <v>0</v>
      </c>
      <c r="G928" s="1">
        <f>IF(ISERROR(VLOOKUP($A928,AdeptPowerTable,11,FALSE))=TRUE,0,VLOOKUP($A928,AdeptPowerTable,11,FALSE))*Sheet1!$C234</f>
        <v>0</v>
      </c>
      <c r="H928" s="1">
        <f>IF(ISERROR(VLOOKUP($A928,AdeptPowerTable,12,FALSE))=TRUE,0,VLOOKUP($A928,AdeptPowerTable,12,FALSE))*Sheet1!$C234</f>
        <v>0</v>
      </c>
      <c r="I928" s="1">
        <f>IF(ISERROR(VLOOKUP($A928,AdeptPowerTable,13,FALSE))=TRUE,0,VLOOKUP($A928,AdeptPowerTable,13,FALSE))*Sheet1!$C234</f>
        <v>0</v>
      </c>
      <c r="J928" s="1">
        <f>IF(ISERROR(VLOOKUP($A928,AdeptPowerTable,14,FALSE))=TRUE,0,VLOOKUP($A928,AdeptPowerTable,14,FALSE))*Sheet1!$C234</f>
        <v>0</v>
      </c>
      <c r="K928" s="1">
        <f>IF(ISERROR(VLOOKUP($A928,AdeptPowerTable,15,FALSE))=TRUE,0,VLOOKUP($A928,AdeptPowerTable,15,FALSE))*Sheet1!$C234</f>
        <v>0</v>
      </c>
      <c r="L928" s="1">
        <f>IF(ISERROR(VLOOKUP($A928,AdeptPowerTable,16,FALSE))=TRUE,0,VLOOKUP($A928,AdeptPowerTable,16,FALSE))*Sheet1!$C234</f>
        <v>0</v>
      </c>
      <c r="M928" s="1">
        <f>IF(ISERROR(VLOOKUP($A928,AdeptPowerTable,17,FALSE))=TRUE,0,VLOOKUP($A928,AdeptPowerTable,17,FALSE))*Sheet1!$C234</f>
        <v>0</v>
      </c>
      <c r="N928" s="1">
        <f>IF(ISERROR(VLOOKUP($A928,AdeptPowerTable,18,FALSE))=TRUE,0,VLOOKUP($A928,AdeptPowerTable,18,FALSE))*Sheet1!$C234</f>
        <v>0</v>
      </c>
      <c r="O928" s="1">
        <f>IF(ISERROR(VLOOKUP($A928,AdeptPowerTable,19,FALSE))=TRUE,0,VLOOKUP($A928,AdeptPowerTable,19,FALSE))*Sheet1!$C234</f>
        <v>0</v>
      </c>
      <c r="P928" s="1">
        <f>IF(ISERROR(VLOOKUP($A928,AdeptPowerTable,20,FALSE))=TRUE,0,VLOOKUP($A928,AdeptPowerTable,20,FALSE))</f>
        <v>0</v>
      </c>
      <c r="Q928" s="1">
        <f>IF(ISERROR(VLOOKUP($A928,AdeptPowerTable,3,FALSE))=TRUE,0,VLOOKUP($A928,AdeptPowerTable,3,FALSE))</f>
        <v>0</v>
      </c>
      <c r="R928" s="1">
        <f>IF(P928=1,CONCATENATE("+",Sheet1!$C234," ",Q928),Q928)</f>
        <v>0</v>
      </c>
    </row>
    <row r="929" spans="1:18" ht="10.5">
      <c r="A929" s="1">
        <f>Sheet1!A235</f>
        <v>0</v>
      </c>
      <c r="B929" s="1">
        <f>IF(ISERROR(VLOOKUP($A929,AdeptPowerTable,6,FALSE))=TRUE,0,VLOOKUP($A929,AdeptPowerTable,6,FALSE))*Sheet1!$C235</f>
        <v>0</v>
      </c>
      <c r="C929" s="1">
        <f>IF(ISERROR(VLOOKUP($A929,AdeptPowerTable,7,FALSE))=TRUE,0,VLOOKUP($A929,AdeptPowerTable,7,FALSE))*Sheet1!$C235</f>
        <v>0</v>
      </c>
      <c r="D929" s="1">
        <f>IF(ISERROR(VLOOKUP($A929,AdeptPowerTable,8,FALSE))=TRUE,0,VLOOKUP($A929,AdeptPowerTable,8,FALSE))*Sheet1!$C235</f>
        <v>0</v>
      </c>
      <c r="E929" s="1">
        <f>IF(ISERROR(VLOOKUP($A929,AdeptPowerTable,9,FALSE))=TRUE,0,VLOOKUP($A929,AdeptPowerTable,9,FALSE))*Sheet1!$C235</f>
        <v>0</v>
      </c>
      <c r="F929" s="1">
        <f>IF(ISERROR(VLOOKUP($A929,AdeptPowerTable,10,FALSE))=TRUE,0,VLOOKUP($A929,AdeptPowerTable,10,FALSE))*Sheet1!$C235</f>
        <v>0</v>
      </c>
      <c r="G929" s="1">
        <f>IF(ISERROR(VLOOKUP($A929,AdeptPowerTable,11,FALSE))=TRUE,0,VLOOKUP($A929,AdeptPowerTable,11,FALSE))*Sheet1!$C235</f>
        <v>0</v>
      </c>
      <c r="H929" s="1">
        <f>IF(ISERROR(VLOOKUP($A929,AdeptPowerTable,12,FALSE))=TRUE,0,VLOOKUP($A929,AdeptPowerTable,12,FALSE))*Sheet1!$C235</f>
        <v>0</v>
      </c>
      <c r="I929" s="1">
        <f>IF(ISERROR(VLOOKUP($A929,AdeptPowerTable,13,FALSE))=TRUE,0,VLOOKUP($A929,AdeptPowerTable,13,FALSE))*Sheet1!$C235</f>
        <v>0</v>
      </c>
      <c r="J929" s="1">
        <f>IF(ISERROR(VLOOKUP($A929,AdeptPowerTable,14,FALSE))=TRUE,0,VLOOKUP($A929,AdeptPowerTable,14,FALSE))*Sheet1!$C235</f>
        <v>0</v>
      </c>
      <c r="K929" s="1">
        <f>IF(ISERROR(VLOOKUP($A929,AdeptPowerTable,15,FALSE))=TRUE,0,VLOOKUP($A929,AdeptPowerTable,15,FALSE))*Sheet1!$C235</f>
        <v>0</v>
      </c>
      <c r="L929" s="1">
        <f>IF(ISERROR(VLOOKUP($A929,AdeptPowerTable,16,FALSE))=TRUE,0,VLOOKUP($A929,AdeptPowerTable,16,FALSE))*Sheet1!$C235</f>
        <v>0</v>
      </c>
      <c r="M929" s="1">
        <f>IF(ISERROR(VLOOKUP($A929,AdeptPowerTable,17,FALSE))=TRUE,0,VLOOKUP($A929,AdeptPowerTable,17,FALSE))*Sheet1!$C235</f>
        <v>0</v>
      </c>
      <c r="N929" s="1">
        <f>IF(ISERROR(VLOOKUP($A929,AdeptPowerTable,18,FALSE))=TRUE,0,VLOOKUP($A929,AdeptPowerTable,18,FALSE))*Sheet1!$C235</f>
        <v>0</v>
      </c>
      <c r="O929" s="1">
        <f>IF(ISERROR(VLOOKUP($A929,AdeptPowerTable,19,FALSE))=TRUE,0,VLOOKUP($A929,AdeptPowerTable,19,FALSE))*Sheet1!$C235</f>
        <v>0</v>
      </c>
      <c r="P929" s="1">
        <f>IF(ISERROR(VLOOKUP($A929,AdeptPowerTable,20,FALSE))=TRUE,0,VLOOKUP($A929,AdeptPowerTable,20,FALSE))</f>
        <v>0</v>
      </c>
      <c r="Q929" s="1">
        <f>IF(ISERROR(VLOOKUP($A929,AdeptPowerTable,3,FALSE))=TRUE,0,VLOOKUP($A929,AdeptPowerTable,3,FALSE))</f>
        <v>0</v>
      </c>
      <c r="R929" s="1">
        <f>IF(P929=1,CONCATENATE("+",Sheet1!$C235," ",Q929),Q929)</f>
        <v>0</v>
      </c>
    </row>
    <row r="930" spans="1:18" ht="10.5">
      <c r="A930" s="1">
        <f>Sheet1!A236</f>
        <v>0</v>
      </c>
      <c r="B930" s="1">
        <f>IF(ISERROR(VLOOKUP($A930,AdeptPowerTable,6,FALSE))=TRUE,0,VLOOKUP($A930,AdeptPowerTable,6,FALSE))*Sheet1!$C236</f>
        <v>0</v>
      </c>
      <c r="C930" s="1">
        <f>IF(ISERROR(VLOOKUP($A930,AdeptPowerTable,7,FALSE))=TRUE,0,VLOOKUP($A930,AdeptPowerTable,7,FALSE))*Sheet1!$C236</f>
        <v>0</v>
      </c>
      <c r="D930" s="1">
        <f>IF(ISERROR(VLOOKUP($A930,AdeptPowerTable,8,FALSE))=TRUE,0,VLOOKUP($A930,AdeptPowerTable,8,FALSE))*Sheet1!$C236</f>
        <v>0</v>
      </c>
      <c r="E930" s="1">
        <f>IF(ISERROR(VLOOKUP($A930,AdeptPowerTable,9,FALSE))=TRUE,0,VLOOKUP($A930,AdeptPowerTable,9,FALSE))*Sheet1!$C236</f>
        <v>0</v>
      </c>
      <c r="F930" s="1">
        <f>IF(ISERROR(VLOOKUP($A930,AdeptPowerTable,10,FALSE))=TRUE,0,VLOOKUP($A930,AdeptPowerTable,10,FALSE))*Sheet1!$C236</f>
        <v>0</v>
      </c>
      <c r="G930" s="1">
        <f>IF(ISERROR(VLOOKUP($A930,AdeptPowerTable,11,FALSE))=TRUE,0,VLOOKUP($A930,AdeptPowerTable,11,FALSE))*Sheet1!$C236</f>
        <v>0</v>
      </c>
      <c r="H930" s="1">
        <f>IF(ISERROR(VLOOKUP($A930,AdeptPowerTable,12,FALSE))=TRUE,0,VLOOKUP($A930,AdeptPowerTable,12,FALSE))*Sheet1!$C236</f>
        <v>0</v>
      </c>
      <c r="I930" s="1">
        <f>IF(ISERROR(VLOOKUP($A930,AdeptPowerTable,13,FALSE))=TRUE,0,VLOOKUP($A930,AdeptPowerTable,13,FALSE))*Sheet1!$C236</f>
        <v>0</v>
      </c>
      <c r="J930" s="1">
        <f>IF(ISERROR(VLOOKUP($A930,AdeptPowerTable,14,FALSE))=TRUE,0,VLOOKUP($A930,AdeptPowerTable,14,FALSE))*Sheet1!$C236</f>
        <v>0</v>
      </c>
      <c r="K930" s="1">
        <f>IF(ISERROR(VLOOKUP($A930,AdeptPowerTable,15,FALSE))=TRUE,0,VLOOKUP($A930,AdeptPowerTable,15,FALSE))*Sheet1!$C236</f>
        <v>0</v>
      </c>
      <c r="L930" s="1">
        <f>IF(ISERROR(VLOOKUP($A930,AdeptPowerTable,16,FALSE))=TRUE,0,VLOOKUP($A930,AdeptPowerTable,16,FALSE))*Sheet1!$C236</f>
        <v>0</v>
      </c>
      <c r="M930" s="1">
        <f>IF(ISERROR(VLOOKUP($A930,AdeptPowerTable,17,FALSE))=TRUE,0,VLOOKUP($A930,AdeptPowerTable,17,FALSE))*Sheet1!$C236</f>
        <v>0</v>
      </c>
      <c r="N930" s="1">
        <f>IF(ISERROR(VLOOKUP($A930,AdeptPowerTable,18,FALSE))=TRUE,0,VLOOKUP($A930,AdeptPowerTable,18,FALSE))*Sheet1!$C236</f>
        <v>0</v>
      </c>
      <c r="O930" s="1">
        <f>IF(ISERROR(VLOOKUP($A930,AdeptPowerTable,19,FALSE))=TRUE,0,VLOOKUP($A930,AdeptPowerTable,19,FALSE))*Sheet1!$C236</f>
        <v>0</v>
      </c>
      <c r="P930" s="1">
        <f>IF(ISERROR(VLOOKUP($A930,AdeptPowerTable,20,FALSE))=TRUE,0,VLOOKUP($A930,AdeptPowerTable,20,FALSE))</f>
        <v>0</v>
      </c>
      <c r="Q930" s="1">
        <f>IF(ISERROR(VLOOKUP($A930,AdeptPowerTable,3,FALSE))=TRUE,0,VLOOKUP($A930,AdeptPowerTable,3,FALSE))</f>
        <v>0</v>
      </c>
      <c r="R930" s="1">
        <f>IF(P930=1,CONCATENATE("+",Sheet1!$C236," ",Q930),Q930)</f>
        <v>0</v>
      </c>
    </row>
    <row r="931" spans="1:18" ht="10.5">
      <c r="A931" s="1">
        <f>Sheet1!A237</f>
        <v>0</v>
      </c>
      <c r="B931" s="1">
        <f>IF(ISERROR(VLOOKUP($A931,AdeptPowerTable,6,FALSE))=TRUE,0,VLOOKUP($A931,AdeptPowerTable,6,FALSE))*Sheet1!$C237</f>
        <v>0</v>
      </c>
      <c r="C931" s="1">
        <f>IF(ISERROR(VLOOKUP($A931,AdeptPowerTable,7,FALSE))=TRUE,0,VLOOKUP($A931,AdeptPowerTable,7,FALSE))*Sheet1!$C237</f>
        <v>0</v>
      </c>
      <c r="D931" s="1">
        <f>IF(ISERROR(VLOOKUP($A931,AdeptPowerTable,8,FALSE))=TRUE,0,VLOOKUP($A931,AdeptPowerTable,8,FALSE))*Sheet1!$C237</f>
        <v>0</v>
      </c>
      <c r="E931" s="1">
        <f>IF(ISERROR(VLOOKUP($A931,AdeptPowerTable,9,FALSE))=TRUE,0,VLOOKUP($A931,AdeptPowerTable,9,FALSE))*Sheet1!$C237</f>
        <v>0</v>
      </c>
      <c r="F931" s="1">
        <f>IF(ISERROR(VLOOKUP($A931,AdeptPowerTable,10,FALSE))=TRUE,0,VLOOKUP($A931,AdeptPowerTable,10,FALSE))*Sheet1!$C237</f>
        <v>0</v>
      </c>
      <c r="G931" s="1">
        <f>IF(ISERROR(VLOOKUP($A931,AdeptPowerTable,11,FALSE))=TRUE,0,VLOOKUP($A931,AdeptPowerTable,11,FALSE))*Sheet1!$C237</f>
        <v>0</v>
      </c>
      <c r="H931" s="1">
        <f>IF(ISERROR(VLOOKUP($A931,AdeptPowerTable,12,FALSE))=TRUE,0,VLOOKUP($A931,AdeptPowerTable,12,FALSE))*Sheet1!$C237</f>
        <v>0</v>
      </c>
      <c r="I931" s="1">
        <f>IF(ISERROR(VLOOKUP($A931,AdeptPowerTable,13,FALSE))=TRUE,0,VLOOKUP($A931,AdeptPowerTable,13,FALSE))*Sheet1!$C237</f>
        <v>0</v>
      </c>
      <c r="J931" s="1">
        <f>IF(ISERROR(VLOOKUP($A931,AdeptPowerTable,14,FALSE))=TRUE,0,VLOOKUP($A931,AdeptPowerTable,14,FALSE))*Sheet1!$C237</f>
        <v>0</v>
      </c>
      <c r="K931" s="1">
        <f>IF(ISERROR(VLOOKUP($A931,AdeptPowerTable,15,FALSE))=TRUE,0,VLOOKUP($A931,AdeptPowerTable,15,FALSE))*Sheet1!$C237</f>
        <v>0</v>
      </c>
      <c r="L931" s="1">
        <f>IF(ISERROR(VLOOKUP($A931,AdeptPowerTable,16,FALSE))=TRUE,0,VLOOKUP($A931,AdeptPowerTable,16,FALSE))*Sheet1!$C237</f>
        <v>0</v>
      </c>
      <c r="M931" s="1">
        <f>IF(ISERROR(VLOOKUP($A931,AdeptPowerTable,17,FALSE))=TRUE,0,VLOOKUP($A931,AdeptPowerTable,17,FALSE))*Sheet1!$C237</f>
        <v>0</v>
      </c>
      <c r="N931" s="1">
        <f>IF(ISERROR(VLOOKUP($A931,AdeptPowerTable,18,FALSE))=TRUE,0,VLOOKUP($A931,AdeptPowerTable,18,FALSE))*Sheet1!$C237</f>
        <v>0</v>
      </c>
      <c r="O931" s="1">
        <f>IF(ISERROR(VLOOKUP($A931,AdeptPowerTable,19,FALSE))=TRUE,0,VLOOKUP($A931,AdeptPowerTable,19,FALSE))*Sheet1!$C237</f>
        <v>0</v>
      </c>
      <c r="P931" s="1">
        <f>IF(ISERROR(VLOOKUP($A931,AdeptPowerTable,20,FALSE))=TRUE,0,VLOOKUP($A931,AdeptPowerTable,20,FALSE))</f>
        <v>0</v>
      </c>
      <c r="Q931" s="1">
        <f>IF(ISERROR(VLOOKUP($A931,AdeptPowerTable,3,FALSE))=TRUE,0,VLOOKUP($A931,AdeptPowerTable,3,FALSE))</f>
        <v>0</v>
      </c>
      <c r="R931" s="1">
        <f>IF(P931=1,CONCATENATE("+",Sheet1!$C237," ",Q931),Q931)</f>
        <v>0</v>
      </c>
    </row>
    <row r="932" spans="1:18" ht="10.5">
      <c r="A932" s="1">
        <f>Sheet1!A238</f>
        <v>0</v>
      </c>
      <c r="B932" s="1">
        <f>IF(ISERROR(VLOOKUP($A932,AdeptPowerTable,6,FALSE))=TRUE,0,VLOOKUP($A932,AdeptPowerTable,6,FALSE))*Sheet1!$C238</f>
        <v>0</v>
      </c>
      <c r="C932" s="1">
        <f>IF(ISERROR(VLOOKUP($A932,AdeptPowerTable,7,FALSE))=TRUE,0,VLOOKUP($A932,AdeptPowerTable,7,FALSE))*Sheet1!$C238</f>
        <v>0</v>
      </c>
      <c r="D932" s="1">
        <f>IF(ISERROR(VLOOKUP($A932,AdeptPowerTable,8,FALSE))=TRUE,0,VLOOKUP($A932,AdeptPowerTable,8,FALSE))*Sheet1!$C238</f>
        <v>0</v>
      </c>
      <c r="E932" s="1">
        <f>IF(ISERROR(VLOOKUP($A932,AdeptPowerTable,9,FALSE))=TRUE,0,VLOOKUP($A932,AdeptPowerTable,9,FALSE))*Sheet1!$C238</f>
        <v>0</v>
      </c>
      <c r="F932" s="1">
        <f>IF(ISERROR(VLOOKUP($A932,AdeptPowerTable,10,FALSE))=TRUE,0,VLOOKUP($A932,AdeptPowerTable,10,FALSE))*Sheet1!$C238</f>
        <v>0</v>
      </c>
      <c r="G932" s="1">
        <f>IF(ISERROR(VLOOKUP($A932,AdeptPowerTable,11,FALSE))=TRUE,0,VLOOKUP($A932,AdeptPowerTable,11,FALSE))*Sheet1!$C238</f>
        <v>0</v>
      </c>
      <c r="H932" s="1">
        <f>IF(ISERROR(VLOOKUP($A932,AdeptPowerTable,12,FALSE))=TRUE,0,VLOOKUP($A932,AdeptPowerTable,12,FALSE))*Sheet1!$C238</f>
        <v>0</v>
      </c>
      <c r="I932" s="1">
        <f>IF(ISERROR(VLOOKUP($A932,AdeptPowerTable,13,FALSE))=TRUE,0,VLOOKUP($A932,AdeptPowerTable,13,FALSE))*Sheet1!$C238</f>
        <v>0</v>
      </c>
      <c r="J932" s="1">
        <f>IF(ISERROR(VLOOKUP($A932,AdeptPowerTable,14,FALSE))=TRUE,0,VLOOKUP($A932,AdeptPowerTable,14,FALSE))*Sheet1!$C238</f>
        <v>0</v>
      </c>
      <c r="K932" s="1">
        <f>IF(ISERROR(VLOOKUP($A932,AdeptPowerTable,15,FALSE))=TRUE,0,VLOOKUP($A932,AdeptPowerTable,15,FALSE))*Sheet1!$C238</f>
        <v>0</v>
      </c>
      <c r="L932" s="1">
        <f>IF(ISERROR(VLOOKUP($A932,AdeptPowerTable,16,FALSE))=TRUE,0,VLOOKUP($A932,AdeptPowerTable,16,FALSE))*Sheet1!$C238</f>
        <v>0</v>
      </c>
      <c r="M932" s="1">
        <f>IF(ISERROR(VLOOKUP($A932,AdeptPowerTable,17,FALSE))=TRUE,0,VLOOKUP($A932,AdeptPowerTable,17,FALSE))*Sheet1!$C238</f>
        <v>0</v>
      </c>
      <c r="N932" s="1">
        <f>IF(ISERROR(VLOOKUP($A932,AdeptPowerTable,18,FALSE))=TRUE,0,VLOOKUP($A932,AdeptPowerTable,18,FALSE))*Sheet1!$C238</f>
        <v>0</v>
      </c>
      <c r="O932" s="1">
        <f>IF(ISERROR(VLOOKUP($A932,AdeptPowerTable,19,FALSE))=TRUE,0,VLOOKUP($A932,AdeptPowerTable,19,FALSE))*Sheet1!$C238</f>
        <v>0</v>
      </c>
      <c r="P932" s="1">
        <f>IF(ISERROR(VLOOKUP($A932,AdeptPowerTable,20,FALSE))=TRUE,0,VLOOKUP($A932,AdeptPowerTable,20,FALSE))</f>
        <v>0</v>
      </c>
      <c r="Q932" s="1">
        <f>IF(ISERROR(VLOOKUP($A932,AdeptPowerTable,3,FALSE))=TRUE,0,VLOOKUP($A932,AdeptPowerTable,3,FALSE))</f>
        <v>0</v>
      </c>
      <c r="R932" s="1">
        <f>IF(P932=1,CONCATENATE("+",Sheet1!$C238," ",Q932),Q932)</f>
        <v>0</v>
      </c>
    </row>
    <row r="933" spans="1:18" ht="10.5">
      <c r="A933" s="1">
        <f>Sheet1!A239</f>
        <v>0</v>
      </c>
      <c r="B933" s="1">
        <f>IF(ISERROR(VLOOKUP($A933,AdeptPowerTable,6,FALSE))=TRUE,0,VLOOKUP($A933,AdeptPowerTable,6,FALSE))*Sheet1!$C239</f>
        <v>0</v>
      </c>
      <c r="C933" s="1">
        <f>IF(ISERROR(VLOOKUP($A933,AdeptPowerTable,7,FALSE))=TRUE,0,VLOOKUP($A933,AdeptPowerTable,7,FALSE))*Sheet1!$C239</f>
        <v>0</v>
      </c>
      <c r="D933" s="1">
        <f>IF(ISERROR(VLOOKUP($A933,AdeptPowerTable,8,FALSE))=TRUE,0,VLOOKUP($A933,AdeptPowerTable,8,FALSE))*Sheet1!$C239</f>
        <v>0</v>
      </c>
      <c r="E933" s="1">
        <f>IF(ISERROR(VLOOKUP($A933,AdeptPowerTable,9,FALSE))=TRUE,0,VLOOKUP($A933,AdeptPowerTable,9,FALSE))*Sheet1!$C239</f>
        <v>0</v>
      </c>
      <c r="F933" s="1">
        <f>IF(ISERROR(VLOOKUP($A933,AdeptPowerTable,10,FALSE))=TRUE,0,VLOOKUP($A933,AdeptPowerTable,10,FALSE))*Sheet1!$C239</f>
        <v>0</v>
      </c>
      <c r="G933" s="1">
        <f>IF(ISERROR(VLOOKUP($A933,AdeptPowerTable,11,FALSE))=TRUE,0,VLOOKUP($A933,AdeptPowerTable,11,FALSE))*Sheet1!$C239</f>
        <v>0</v>
      </c>
      <c r="H933" s="1">
        <f>IF(ISERROR(VLOOKUP($A933,AdeptPowerTable,12,FALSE))=TRUE,0,VLOOKUP($A933,AdeptPowerTable,12,FALSE))*Sheet1!$C239</f>
        <v>0</v>
      </c>
      <c r="I933" s="1">
        <f>IF(ISERROR(VLOOKUP($A933,AdeptPowerTable,13,FALSE))=TRUE,0,VLOOKUP($A933,AdeptPowerTable,13,FALSE))*Sheet1!$C239</f>
        <v>0</v>
      </c>
      <c r="J933" s="1">
        <f>IF(ISERROR(VLOOKUP($A933,AdeptPowerTable,14,FALSE))=TRUE,0,VLOOKUP($A933,AdeptPowerTable,14,FALSE))*Sheet1!$C239</f>
        <v>0</v>
      </c>
      <c r="K933" s="1">
        <f>IF(ISERROR(VLOOKUP($A933,AdeptPowerTable,15,FALSE))=TRUE,0,VLOOKUP($A933,AdeptPowerTable,15,FALSE))*Sheet1!$C239</f>
        <v>0</v>
      </c>
      <c r="L933" s="1">
        <f>IF(ISERROR(VLOOKUP($A933,AdeptPowerTable,16,FALSE))=TRUE,0,VLOOKUP($A933,AdeptPowerTable,16,FALSE))*Sheet1!$C239</f>
        <v>0</v>
      </c>
      <c r="M933" s="1">
        <f>IF(ISERROR(VLOOKUP($A933,AdeptPowerTable,17,FALSE))=TRUE,0,VLOOKUP($A933,AdeptPowerTable,17,FALSE))*Sheet1!$C239</f>
        <v>0</v>
      </c>
      <c r="N933" s="1">
        <f>IF(ISERROR(VLOOKUP($A933,AdeptPowerTable,18,FALSE))=TRUE,0,VLOOKUP($A933,AdeptPowerTable,18,FALSE))*Sheet1!$C239</f>
        <v>0</v>
      </c>
      <c r="O933" s="1">
        <f>IF(ISERROR(VLOOKUP($A933,AdeptPowerTable,19,FALSE))=TRUE,0,VLOOKUP($A933,AdeptPowerTable,19,FALSE))*Sheet1!$C239</f>
        <v>0</v>
      </c>
      <c r="P933" s="1">
        <f>IF(ISERROR(VLOOKUP($A933,AdeptPowerTable,20,FALSE))=TRUE,0,VLOOKUP($A933,AdeptPowerTable,20,FALSE))</f>
        <v>0</v>
      </c>
      <c r="Q933" s="1">
        <f>IF(ISERROR(VLOOKUP($A933,AdeptPowerTable,3,FALSE))=TRUE,0,VLOOKUP($A933,AdeptPowerTable,3,FALSE))</f>
        <v>0</v>
      </c>
      <c r="R933" s="1">
        <f>IF(P933=1,CONCATENATE("+",Sheet1!$C239," ",Q933),Q933)</f>
        <v>0</v>
      </c>
    </row>
    <row r="934" spans="1:18" ht="10.5">
      <c r="A934" s="7" t="s">
        <v>201</v>
      </c>
      <c r="B934" s="1">
        <f>SUM(B923:B933)</f>
        <v>0</v>
      </c>
      <c r="C934" s="1">
        <f>SUM(C923:C933)</f>
        <v>0</v>
      </c>
      <c r="D934" s="1">
        <f>SUM(D923:D933)</f>
        <v>0</v>
      </c>
      <c r="E934" s="1">
        <f>SUM(E923:E933)</f>
        <v>0</v>
      </c>
      <c r="F934" s="1">
        <f>SUM(F923:F933)</f>
        <v>0</v>
      </c>
      <c r="G934" s="1">
        <f>SUM(G923:G933)</f>
        <v>0</v>
      </c>
      <c r="H934" s="1">
        <f>SUM(H923:H933)</f>
        <v>0</v>
      </c>
      <c r="I934" s="1">
        <f>SUM(I923:I933)</f>
        <v>0</v>
      </c>
      <c r="J934" s="1">
        <f>SUM(J923:J933)</f>
        <v>0</v>
      </c>
      <c r="K934" s="1">
        <f>SUM(K923:K933)</f>
        <v>0</v>
      </c>
      <c r="L934" s="1">
        <f>SUM(L923:L933)</f>
        <v>0</v>
      </c>
      <c r="M934" s="1">
        <f>SUM(M923:M933)</f>
        <v>0</v>
      </c>
      <c r="N934" s="1">
        <f>SUM(N923:N933)</f>
        <v>0</v>
      </c>
      <c r="O934" s="1">
        <f>SUM(O923:O933)</f>
        <v>0</v>
      </c>
      <c r="P934" s="1">
        <f>IF(ISERROR(VLOOKUP($A934,AdeptPowerTable,20,FALSE))=TRUE,0,VLOOKUP($A934,AdeptPowerTable,20,FALSE))</f>
        <v>0</v>
      </c>
      <c r="Q934" s="1">
        <f>IF(ISERROR(VLOOKUP($A934,AdeptPowerTable,3,FALSE))=TRUE,0,VLOOKUP($A934,AdeptPowerTable,3,FALSE))</f>
        <v>0</v>
      </c>
      <c r="R934" s="1">
        <f>IF(P934=1,CONCATENATE("+",Sheet1!$C240," ",Q934),Q934)</f>
        <v>0</v>
      </c>
    </row>
    <row r="936" ht="10.5">
      <c r="A936" s="4" t="s">
        <v>1331</v>
      </c>
    </row>
    <row r="937" spans="1:28" ht="10.5">
      <c r="A937" s="1">
        <f>Sheet1!A243</f>
        <v>0</v>
      </c>
      <c r="B937" s="1">
        <f>Sheet1!B243</f>
        <v>0</v>
      </c>
      <c r="AA937" s="1">
        <f>IF(A937=0,"",CONCATENATE(A937,CHAR(10)))</f>
      </c>
      <c r="AB937" s="1">
        <f>IF(B937=0,"",CONCATENATE(B937,CHAR(10)))</f>
      </c>
    </row>
    <row r="938" spans="1:28" ht="10.5">
      <c r="A938" s="1">
        <f>Sheet1!A244</f>
        <v>0</v>
      </c>
      <c r="B938" s="1">
        <f>Sheet1!B244</f>
        <v>0</v>
      </c>
      <c r="AA938" s="1">
        <f>IF(A938=0,"",CONCATENATE(A938,CHAR(10)))</f>
      </c>
      <c r="AB938" s="1">
        <f>IF(B938=0,"",CONCATENATE(B938,CHAR(10)))</f>
      </c>
    </row>
    <row r="939" spans="1:28" ht="10.5">
      <c r="A939" s="1">
        <f>Sheet1!A245</f>
        <v>0</v>
      </c>
      <c r="B939" s="1">
        <f>Sheet1!B245</f>
        <v>0</v>
      </c>
      <c r="AA939" s="1">
        <f>IF(A939=0,"",CONCATENATE(A939,CHAR(10)))</f>
      </c>
      <c r="AB939" s="1">
        <f>IF(B939=0,"",CONCATENATE(B939,CHAR(10)))</f>
      </c>
    </row>
    <row r="940" spans="1:28" ht="10.5">
      <c r="A940" s="1">
        <f>Sheet1!A246</f>
        <v>0</v>
      </c>
      <c r="B940" s="1">
        <f>Sheet1!B246</f>
        <v>0</v>
      </c>
      <c r="AA940" s="1">
        <f>IF(A940=0,"",CONCATENATE(A940,CHAR(10)))</f>
      </c>
      <c r="AB940" s="1">
        <f>IF(B940=0,"",CONCATENATE(B940,CHAR(10)))</f>
      </c>
    </row>
    <row r="941" spans="1:28" ht="10.5">
      <c r="A941" s="1">
        <f>Sheet1!A247</f>
        <v>0</v>
      </c>
      <c r="B941" s="1">
        <f>Sheet1!B247</f>
        <v>0</v>
      </c>
      <c r="AA941" s="1">
        <f>IF(A941=0,"",CONCATENATE(A941,CHAR(10)))</f>
      </c>
      <c r="AB941" s="1">
        <f>IF(B941=0,"",CONCATENATE(B941,CHAR(10)))</f>
      </c>
    </row>
    <row r="942" spans="1:28" ht="10.5">
      <c r="A942" s="1">
        <f>Sheet1!A248</f>
        <v>0</v>
      </c>
      <c r="B942" s="1">
        <f>Sheet1!B248</f>
        <v>0</v>
      </c>
      <c r="AA942" s="1">
        <f>IF(A942=0,"",CONCATENATE(A942,CHAR(10)))</f>
      </c>
      <c r="AB942" s="1">
        <f>IF(B942=0,"",CONCATENATE(B942,CHAR(10)))</f>
      </c>
    </row>
    <row r="944" spans="1:2" ht="10.5">
      <c r="A944" s="1">
        <f>CONCATENATE(AA937,AA938,AA939,AA940,AA941,AA942)</f>
      </c>
      <c r="B944" s="1">
        <f>CONCATENATE(AB937,AB938,AB939,AB940,AB941,AB942)</f>
      </c>
    </row>
    <row r="1060" ht="10.5">
      <c r="A1060" s="1" t="s">
        <v>1332</v>
      </c>
    </row>
    <row r="1061" spans="1:5" ht="10.5">
      <c r="A1061" s="1">
        <f>IF(Sheet1!B31=0,"",Sheet1!A31)</f>
      </c>
      <c r="B1061" s="1">
        <f>IF(Sheet1!B31=0,"",Sheet1!B31)</f>
      </c>
      <c r="E1061" s="1">
        <f>IF(Sheet1!E31=0,"",Sheet1!E31)</f>
      </c>
    </row>
    <row r="1062" spans="1:5" ht="10.5">
      <c r="A1062" s="1">
        <f>IF(Sheet1!B32=0,"",Sheet1!A32)</f>
      </c>
      <c r="B1062" s="1">
        <f>IF(Sheet1!B32=0,"",Sheet1!B32)</f>
      </c>
      <c r="E1062" s="1">
        <f>IF(Sheet1!E32=0,"",Sheet1!E32)</f>
      </c>
    </row>
    <row r="1063" spans="1:5" ht="10.5">
      <c r="A1063" s="1">
        <f>IF(Sheet1!B33=0,"",Sheet1!A33)</f>
      </c>
      <c r="B1063" s="1">
        <f>IF(Sheet1!B33=0,"",Sheet1!B33)</f>
      </c>
      <c r="E1063" s="1">
        <f>IF(Sheet1!E33=0,"",Sheet1!E33)</f>
      </c>
    </row>
    <row r="1064" spans="1:5" ht="10.5">
      <c r="A1064" s="1">
        <f>IF(Sheet1!B34=0,"",Sheet1!A34)</f>
      </c>
      <c r="B1064" s="1">
        <f>IF(Sheet1!B34=0,"",Sheet1!B34)</f>
      </c>
      <c r="E1064" s="1">
        <f>IF(Sheet1!E34=0,"",Sheet1!E34)</f>
      </c>
    </row>
    <row r="1065" spans="1:5" ht="10.5">
      <c r="A1065" s="1">
        <f>IF(Sheet1!B35=0,"",Sheet1!A35)</f>
      </c>
      <c r="B1065" s="1">
        <f>IF(Sheet1!B35=0,"",Sheet1!B35)</f>
      </c>
      <c r="E1065" s="1">
        <f>IF(Sheet1!E35=0,"",Sheet1!E35)</f>
      </c>
    </row>
    <row r="1066" spans="1:5" ht="10.5">
      <c r="A1066" s="1">
        <f>IF(Sheet1!B36=0,"",Sheet1!A36)</f>
      </c>
      <c r="B1066" s="1">
        <f>IF(Sheet1!B36=0,"",Sheet1!B36)</f>
      </c>
      <c r="E1066" s="1">
        <f>IF(Sheet1!E36=0,"",Sheet1!E36)</f>
      </c>
    </row>
    <row r="1067" spans="1:5" ht="10.5">
      <c r="A1067" s="1">
        <f>IF(Sheet1!B37=0,"",Sheet1!A37)</f>
      </c>
      <c r="B1067" s="1">
        <f>IF(Sheet1!B37=0,"",Sheet1!B37)</f>
      </c>
      <c r="E1067" s="1">
        <f>IF(Sheet1!E37=0,"",Sheet1!E37)</f>
      </c>
    </row>
    <row r="1068" spans="1:5" ht="10.5">
      <c r="A1068" s="1">
        <f>IF(Sheet1!B38=0,"",Sheet1!A38)</f>
      </c>
      <c r="B1068" s="1">
        <f>IF(Sheet1!B38=0,"",Sheet1!B38)</f>
      </c>
      <c r="E1068" s="1">
        <f>IF(Sheet1!E38=0,"",Sheet1!E38)</f>
      </c>
    </row>
    <row r="1069" spans="1:5" ht="10.5">
      <c r="A1069" s="1">
        <f>IF(Sheet1!B39=0,"",Sheet1!A39)</f>
      </c>
      <c r="B1069" s="1">
        <f>IF(Sheet1!B39=0,"",Sheet1!B39)</f>
      </c>
      <c r="E1069" s="1">
        <f>IF(Sheet1!E39=0,"",Sheet1!E39)</f>
      </c>
    </row>
    <row r="1070" spans="1:5" ht="10.5">
      <c r="A1070" s="1">
        <f>IF(Sheet1!B40=0,"",Sheet1!A40)</f>
      </c>
      <c r="B1070" s="1">
        <f>IF(Sheet1!B40=0,"",Sheet1!B40)</f>
      </c>
      <c r="E1070" s="1">
        <f>IF(Sheet1!E40=0,"",Sheet1!E40)</f>
      </c>
    </row>
    <row r="1071" spans="1:5" ht="10.5">
      <c r="A1071" s="1">
        <f>IF(Sheet1!B41=0,"",Sheet1!A41)</f>
      </c>
      <c r="B1071" s="1">
        <f>IF(Sheet1!B41=0,"",Sheet1!B41)</f>
      </c>
      <c r="E1071" s="1">
        <f>IF(Sheet1!E41=0,"",Sheet1!E41)</f>
      </c>
    </row>
    <row r="1072" spans="1:5" ht="10.5">
      <c r="A1072" s="1">
        <f>IF(Sheet1!B42=0,"",Sheet1!A42)</f>
      </c>
      <c r="B1072" s="1">
        <f>IF(Sheet1!B42=0,"",Sheet1!B42)</f>
      </c>
      <c r="E1072" s="1">
        <f>IF(Sheet1!E42=0,"",Sheet1!E42)</f>
      </c>
    </row>
    <row r="1073" spans="1:5" ht="10.5">
      <c r="A1073" s="1">
        <f>IF(Sheet1!B45=0,"",Sheet1!A45)</f>
      </c>
      <c r="B1073" s="1">
        <f>IF(Sheet1!B45=0,"",Sheet1!B45)</f>
      </c>
      <c r="E1073" s="1">
        <f>IF(Sheet1!E45=0,"",Sheet1!E45)</f>
      </c>
    </row>
    <row r="1074" spans="1:5" ht="10.5">
      <c r="A1074" s="1">
        <f>IF(Sheet1!B46=0,"",Sheet1!A46)</f>
      </c>
      <c r="B1074" s="1">
        <f>IF(Sheet1!B46=0,"",Sheet1!B46)</f>
      </c>
      <c r="E1074" s="1">
        <f>IF(Sheet1!E46=0,"",Sheet1!E46)</f>
      </c>
    </row>
    <row r="1075" spans="1:5" ht="10.5">
      <c r="A1075" s="1">
        <f>IF(Sheet1!B47=0,"",Sheet1!A47)</f>
      </c>
      <c r="B1075" s="1">
        <f>IF(Sheet1!B47=0,"",Sheet1!B47)</f>
      </c>
      <c r="E1075" s="1">
        <f>IF(Sheet1!E47=0,"",Sheet1!E47)</f>
      </c>
    </row>
    <row r="1076" spans="1:5" ht="10.5">
      <c r="A1076" s="1">
        <f>IF(Sheet1!B48=0,"",Sheet1!A48)</f>
      </c>
      <c r="B1076" s="1">
        <f>IF(Sheet1!B48=0,"",Sheet1!B48)</f>
      </c>
      <c r="E1076" s="1">
        <f>IF(Sheet1!E48=0,"",Sheet1!E48)</f>
      </c>
    </row>
    <row r="1077" spans="1:5" ht="10.5">
      <c r="A1077" s="1">
        <f>IF(Sheet1!B49=0,"",Sheet1!A49)</f>
      </c>
      <c r="B1077" s="1">
        <f>IF(Sheet1!B49=0,"",Sheet1!B49)</f>
      </c>
      <c r="E1077" s="1">
        <f>IF(Sheet1!E49=0,"",Sheet1!E49)</f>
      </c>
    </row>
    <row r="1078" spans="1:5" ht="10.5">
      <c r="A1078" s="1">
        <f>IF(Sheet1!B50=0,"",Sheet1!A50)</f>
      </c>
      <c r="B1078" s="1">
        <f>IF(Sheet1!B50=0,"",Sheet1!B50)</f>
      </c>
      <c r="E1078" s="1">
        <f>IF(Sheet1!E50=0,"",Sheet1!E50)</f>
      </c>
    </row>
    <row r="1079" spans="1:5" ht="10.5">
      <c r="A1079" s="1">
        <f>IF(Sheet1!B51=0,"",Sheet1!A51)</f>
      </c>
      <c r="B1079" s="1">
        <f>IF(Sheet1!B51=0,"",Sheet1!B51)</f>
      </c>
      <c r="E1079" s="1">
        <f>IF(Sheet1!E51=0,"",Sheet1!E51)</f>
      </c>
    </row>
    <row r="1080" spans="1:5" ht="10.5">
      <c r="A1080" s="1">
        <f>IF(Sheet1!B52=0,"",Sheet1!A52)</f>
      </c>
      <c r="B1080" s="1">
        <f>IF(Sheet1!B52=0,"",Sheet1!B52)</f>
      </c>
      <c r="E1080" s="1">
        <f>IF(Sheet1!E52=0,"",Sheet1!E52)</f>
      </c>
    </row>
    <row r="1081" spans="1:5" ht="10.5">
      <c r="A1081" s="1">
        <f>IF(Sheet1!B55=0,"",Sheet1!A55)</f>
      </c>
      <c r="B1081" s="1">
        <f>IF(Sheet1!B55=0,"",Sheet1!B55)</f>
      </c>
      <c r="E1081" s="1">
        <f>IF(Sheet1!E55=0,"",Sheet1!E55)</f>
      </c>
    </row>
    <row r="1082" spans="1:5" ht="10.5">
      <c r="A1082" s="1">
        <f>IF(Sheet1!B56=0,"",Sheet1!A56)</f>
      </c>
      <c r="B1082" s="1">
        <f>IF(Sheet1!B56=0,"",Sheet1!B56)</f>
      </c>
      <c r="E1082" s="1">
        <f>IF(Sheet1!E56=0,"",Sheet1!E56)</f>
      </c>
    </row>
    <row r="1083" spans="1:5" ht="10.5">
      <c r="A1083" s="1">
        <f>IF(Sheet1!B57=0,"",Sheet1!A57)</f>
      </c>
      <c r="B1083" s="1">
        <f>IF(Sheet1!B57=0,"",Sheet1!B57)</f>
      </c>
      <c r="E1083" s="1">
        <f>IF(Sheet1!E57=0,"",Sheet1!E57)</f>
      </c>
    </row>
    <row r="1084" spans="1:5" ht="10.5">
      <c r="A1084" s="1">
        <f>IF(Sheet1!B60=0,"",Sheet1!A60)</f>
      </c>
      <c r="B1084" s="1">
        <f>IF(Sheet1!B60=0,"",Sheet1!B60)</f>
      </c>
      <c r="E1084" s="1">
        <f>IF(Sheet1!E60=0,"",Sheet1!E60)</f>
      </c>
    </row>
    <row r="1085" spans="1:5" ht="10.5">
      <c r="A1085" s="1">
        <f>IF(Sheet1!B61=0,"",Sheet1!A61)</f>
      </c>
      <c r="B1085" s="1">
        <f>IF(Sheet1!B61=0,"",Sheet1!B61)</f>
      </c>
      <c r="E1085" s="1">
        <f>IF(Sheet1!E61=0,"",Sheet1!E61)</f>
      </c>
    </row>
    <row r="1086" spans="1:5" ht="10.5">
      <c r="A1086" s="1">
        <f>IF(Sheet1!B62=0,"",Sheet1!A62)</f>
      </c>
      <c r="B1086" s="1">
        <f>IF(Sheet1!B62=0,"",Sheet1!B62)</f>
      </c>
      <c r="E1086" s="1">
        <f>IF(Sheet1!E62=0,"",Sheet1!E62)</f>
      </c>
    </row>
    <row r="1087" spans="1:5" ht="10.5">
      <c r="A1087" s="1">
        <f>IF(Sheet1!B63=0,"",Sheet1!A63)</f>
      </c>
      <c r="B1087" s="1">
        <f>IF(Sheet1!B63=0,"",Sheet1!B63)</f>
      </c>
      <c r="E1087" s="1">
        <f>IF(Sheet1!E63=0,"",Sheet1!E63)</f>
      </c>
    </row>
    <row r="1088" spans="1:5" ht="10.5">
      <c r="A1088" s="1">
        <f>IF(Sheet1!B64=0,"",Sheet1!A64)</f>
      </c>
      <c r="B1088" s="1">
        <f>IF(Sheet1!B64=0,"",Sheet1!B64)</f>
      </c>
      <c r="E1088" s="1">
        <f>IF(Sheet1!E64=0,"",Sheet1!E64)</f>
      </c>
    </row>
    <row r="1089" spans="1:5" ht="10.5">
      <c r="A1089" s="1">
        <f>IF(Sheet1!B65=0,"",Sheet1!A65)</f>
      </c>
      <c r="B1089" s="1">
        <f>IF(Sheet1!B65=0,"",Sheet1!B65)</f>
      </c>
      <c r="E1089" s="1">
        <f>IF(Sheet1!E65=0,"",Sheet1!E65)</f>
      </c>
    </row>
    <row r="1090" spans="1:5" ht="10.5">
      <c r="A1090" s="1">
        <f>IF(Sheet1!B68=0,"",Sheet1!A68)</f>
      </c>
      <c r="B1090" s="1">
        <f>IF(Sheet1!B68=0,"",Sheet1!B68)</f>
      </c>
      <c r="E1090" s="1">
        <f>IF(Sheet1!E68=0,"",Sheet1!E68)</f>
      </c>
    </row>
    <row r="1091" spans="1:5" ht="10.5">
      <c r="A1091" s="1">
        <f>IF(Sheet1!B69=0,"",Sheet1!A69)</f>
      </c>
      <c r="B1091" s="1">
        <f>IF(Sheet1!B69=0,"",Sheet1!B69)</f>
      </c>
      <c r="E1091" s="1">
        <f>IF(Sheet1!E69=0,"",Sheet1!E69)</f>
      </c>
    </row>
    <row r="1092" spans="1:5" ht="10.5">
      <c r="A1092" s="1">
        <f>IF(Sheet1!B70=0,"",Sheet1!A70)</f>
      </c>
      <c r="B1092" s="1">
        <f>IF(Sheet1!B70=0,"",Sheet1!B70)</f>
      </c>
      <c r="E1092" s="1">
        <f>IF(Sheet1!E70=0,"",Sheet1!E70)</f>
      </c>
    </row>
    <row r="1093" spans="1:5" ht="10.5">
      <c r="A1093" s="1">
        <f>IF(Sheet1!B71=0,"",Sheet1!A71)</f>
      </c>
      <c r="B1093" s="1">
        <f>IF(Sheet1!B71=0,"",Sheet1!B71)</f>
      </c>
      <c r="E1093" s="1">
        <f>IF(Sheet1!E71=0,"",Sheet1!E71)</f>
      </c>
    </row>
    <row r="1094" spans="1:5" ht="10.5">
      <c r="A1094" s="1">
        <f>IF(Sheet1!B72=0,"",Sheet1!A72)</f>
      </c>
      <c r="B1094" s="1">
        <f>IF(Sheet1!B72=0,"",Sheet1!B72)</f>
      </c>
      <c r="E1094" s="1">
        <f>IF(Sheet1!E72=0,"",Sheet1!E72)</f>
      </c>
    </row>
    <row r="1095" spans="1:5" ht="10.5">
      <c r="A1095" s="1">
        <f>IF(Sheet1!B73=0,"",Sheet1!A73)</f>
      </c>
      <c r="B1095" s="1">
        <f>IF(Sheet1!B73=0,"",Sheet1!B73)</f>
      </c>
      <c r="E1095" s="1">
        <f>IF(Sheet1!E73=0,"",Sheet1!E73)</f>
      </c>
    </row>
    <row r="1096" spans="1:5" ht="10.5">
      <c r="A1096" s="1">
        <f>IF(Sheet1!B74=0,"",Sheet1!A74)</f>
      </c>
      <c r="B1096" s="1">
        <f>IF(Sheet1!B74=0,"",Sheet1!B74)</f>
      </c>
      <c r="E1096" s="1">
        <f>IF(Sheet1!E74=0,"",Sheet1!E74)</f>
      </c>
    </row>
    <row r="1097" spans="1:5" ht="10.5">
      <c r="A1097" s="1">
        <f>IF(Sheet1!I31=0,"",Sheet1!H31)</f>
      </c>
      <c r="B1097" s="1">
        <f>IF(Sheet1!I31=0,"",Sheet1!I31)</f>
      </c>
      <c r="E1097" s="1">
        <f>IF(Sheet1!L31=0,"",Sheet1!L31)</f>
      </c>
    </row>
    <row r="1098" spans="1:5" ht="10.5">
      <c r="A1098" s="1">
        <f>IF(Sheet1!I32=0,"",Sheet1!H32)</f>
      </c>
      <c r="B1098" s="1">
        <f>IF(Sheet1!I32=0,"",Sheet1!I32)</f>
      </c>
      <c r="E1098" s="1">
        <f>IF(Sheet1!L32=0,"",Sheet1!L32)</f>
      </c>
    </row>
    <row r="1099" spans="1:5" ht="10.5">
      <c r="A1099" s="1">
        <f>IF(Sheet1!I33=0,"",Sheet1!H33)</f>
      </c>
      <c r="B1099" s="1">
        <f>IF(Sheet1!I33=0,"",Sheet1!I33)</f>
      </c>
      <c r="E1099" s="1">
        <f>IF(Sheet1!L33=0,"",Sheet1!L33)</f>
      </c>
    </row>
    <row r="1100" spans="1:5" ht="10.5">
      <c r="A1100" s="1">
        <f>IF(Sheet1!I34=0,"",Sheet1!H34)</f>
      </c>
      <c r="B1100" s="1">
        <f>IF(Sheet1!I34=0,"",Sheet1!I34)</f>
      </c>
      <c r="E1100" s="1">
        <f>IF(Sheet1!L34=0,"",Sheet1!L34)</f>
      </c>
    </row>
    <row r="1101" spans="1:5" ht="10.5">
      <c r="A1101" s="1">
        <f>IF(Sheet1!I35=0,"",Sheet1!H35)</f>
      </c>
      <c r="B1101" s="1">
        <f>IF(Sheet1!I35=0,"",Sheet1!I35)</f>
      </c>
      <c r="E1101" s="1">
        <f>IF(Sheet1!L35=0,"",Sheet1!L35)</f>
      </c>
    </row>
    <row r="1102" spans="1:5" ht="10.5">
      <c r="A1102" s="1">
        <f>IF(Sheet1!I36=0,"",Sheet1!H36)</f>
      </c>
      <c r="B1102" s="1">
        <f>IF(Sheet1!I36=0,"",Sheet1!I36)</f>
      </c>
      <c r="E1102" s="1">
        <f>IF(Sheet1!L36=0,"",Sheet1!L36)</f>
      </c>
    </row>
    <row r="1103" spans="1:5" ht="10.5">
      <c r="A1103" s="1">
        <f>IF(Sheet1!I37=0,"",Sheet1!H37)</f>
      </c>
      <c r="B1103" s="1">
        <f>IF(Sheet1!I37=0,"",Sheet1!I37)</f>
      </c>
      <c r="E1103" s="1">
        <f>IF(Sheet1!L37=0,"",Sheet1!L37)</f>
      </c>
    </row>
    <row r="1104" spans="1:5" ht="10.5">
      <c r="A1104" s="1">
        <f>IF(Sheet1!I38=0,"",Sheet1!H38)</f>
      </c>
      <c r="B1104" s="1">
        <f>IF(Sheet1!I38=0,"",Sheet1!I38)</f>
      </c>
      <c r="E1104" s="1">
        <f>IF(Sheet1!L38=0,"",Sheet1!L38)</f>
      </c>
    </row>
    <row r="1105" spans="1:5" ht="10.5">
      <c r="A1105" s="1">
        <f>IF(Sheet1!I39=0,"",Sheet1!H39)</f>
      </c>
      <c r="B1105" s="1">
        <f>IF(Sheet1!I39=0,"",Sheet1!I39)</f>
      </c>
      <c r="E1105" s="1">
        <f>IF(Sheet1!L39=0,"",Sheet1!L39)</f>
      </c>
    </row>
    <row r="1106" spans="1:5" ht="10.5">
      <c r="A1106" s="1" t="str">
        <f>IF(Sheet1!I40=0,"",Sheet1!H40)</f>
        <v>Perception</v>
      </c>
      <c r="B1106" s="1">
        <f>IF(Sheet1!I40=0,"",Sheet1!I40)</f>
        <v>3</v>
      </c>
      <c r="E1106" s="1">
        <f>IF(Sheet1!L40=0,"",Sheet1!L40)</f>
      </c>
    </row>
    <row r="1107" spans="1:5" ht="10.5">
      <c r="A1107" s="1">
        <f>IF(Sheet1!I41=0,"",Sheet1!H41)</f>
      </c>
      <c r="B1107" s="1">
        <f>IF(Sheet1!I41=0,"",Sheet1!I41)</f>
      </c>
      <c r="E1107" s="1">
        <f>IF(Sheet1!L41=0,"",Sheet1!L41)</f>
      </c>
    </row>
    <row r="1108" spans="1:5" ht="10.5">
      <c r="A1108" s="1">
        <f>IF(Sheet1!I42=0,"",Sheet1!H42)</f>
      </c>
      <c r="B1108" s="1">
        <f>IF(Sheet1!I42=0,"",Sheet1!I42)</f>
      </c>
      <c r="E1108" s="1">
        <f>IF(Sheet1!L42=0,"",Sheet1!L42)</f>
      </c>
    </row>
    <row r="1109" spans="1:5" ht="10.5">
      <c r="A1109" s="1">
        <f>IF(Sheet1!I43=0,"",Sheet1!H43)</f>
      </c>
      <c r="B1109" s="1">
        <f>IF(Sheet1!I43=0,"",Sheet1!I43)</f>
      </c>
      <c r="E1109" s="1">
        <f>IF(Sheet1!L43=0,"",Sheet1!L43)</f>
      </c>
    </row>
    <row r="1110" spans="1:5" ht="10.5">
      <c r="A1110" s="1">
        <f>IF(Sheet1!I44=0,"",Sheet1!H44)</f>
      </c>
      <c r="B1110" s="1">
        <f>IF(Sheet1!I44=0,"",Sheet1!I44)</f>
      </c>
      <c r="E1110" s="1">
        <f>IF(Sheet1!L44=0,"",Sheet1!L44)</f>
      </c>
    </row>
    <row r="1111" spans="1:5" ht="10.5">
      <c r="A1111" s="1">
        <f>IF(Sheet1!I45=0,"",Sheet1!H45)</f>
      </c>
      <c r="B1111" s="1">
        <f>IF(Sheet1!I45=0,"",Sheet1!I45)</f>
      </c>
      <c r="E1111" s="1">
        <f>IF(Sheet1!L45=0,"",Sheet1!L45)</f>
      </c>
    </row>
    <row r="1112" spans="1:5" ht="10.5">
      <c r="A1112" s="1">
        <f>IF(Sheet1!I48=0,"",Sheet1!H48)</f>
      </c>
      <c r="B1112" s="1">
        <f>IF(Sheet1!I48=0,"",Sheet1!I48)</f>
      </c>
      <c r="E1112" s="1">
        <f>IF(Sheet1!L48=0,"",Sheet1!L48)</f>
      </c>
    </row>
    <row r="1113" spans="1:5" ht="10.5">
      <c r="A1113" s="1">
        <f>IF(Sheet1!I49=0,"",Sheet1!H49)</f>
      </c>
      <c r="B1113" s="1">
        <f>IF(Sheet1!I49=0,"",Sheet1!I49)</f>
      </c>
      <c r="E1113" s="1">
        <f>IF(Sheet1!L49=0,"",Sheet1!L49)</f>
      </c>
    </row>
    <row r="1114" spans="1:5" ht="10.5">
      <c r="A1114" s="1">
        <f>IF(Sheet1!I50=0,"",Sheet1!H50)</f>
      </c>
      <c r="B1114" s="1">
        <f>IF(Sheet1!I50=0,"",Sheet1!I50)</f>
      </c>
      <c r="E1114" s="1">
        <f>IF(Sheet1!L50=0,"",Sheet1!L50)</f>
      </c>
    </row>
    <row r="1115" spans="1:5" ht="10.5">
      <c r="A1115" s="1">
        <f>IF(Sheet1!I51=0,"",Sheet1!H51)</f>
      </c>
      <c r="B1115" s="1">
        <f>IF(Sheet1!I51=0,"",Sheet1!I51)</f>
      </c>
      <c r="E1115" s="1">
        <f>IF(Sheet1!L51=0,"",Sheet1!L51)</f>
      </c>
    </row>
    <row r="1116" spans="1:5" ht="10.5">
      <c r="A1116" s="1">
        <f>IF(Sheet1!I52=0,"",Sheet1!H52)</f>
      </c>
      <c r="B1116" s="1">
        <f>IF(Sheet1!I52=0,"",Sheet1!I52)</f>
      </c>
      <c r="E1116" s="1">
        <f>IF(Sheet1!L52=0,"",Sheet1!L52)</f>
      </c>
    </row>
    <row r="1117" spans="1:5" ht="10.5">
      <c r="A1117" s="1">
        <f>IF(Sheet1!I53=0,"",Sheet1!H53)</f>
      </c>
      <c r="B1117" s="1">
        <f>IF(Sheet1!I53=0,"",Sheet1!I53)</f>
      </c>
      <c r="E1117" s="1">
        <f>IF(Sheet1!L53=0,"",Sheet1!L53)</f>
      </c>
    </row>
    <row r="1118" spans="1:5" ht="10.5">
      <c r="A1118" s="1">
        <f>IF(Sheet1!I54=0,"",Sheet1!H54)</f>
      </c>
      <c r="B1118" s="1">
        <f>IF(Sheet1!I54=0,"",Sheet1!I54)</f>
      </c>
      <c r="E1118" s="1">
        <f>IF(Sheet1!L54=0,"",Sheet1!L54)</f>
      </c>
    </row>
    <row r="1119" spans="1:5" ht="10.5">
      <c r="A1119" s="1">
        <f>IF(Sheet1!I55=0,"",Sheet1!H55)</f>
      </c>
      <c r="B1119" s="1">
        <f>IF(Sheet1!I55=0,"",Sheet1!I55)</f>
      </c>
      <c r="E1119" s="1">
        <f>IF(Sheet1!L55=0,"",Sheet1!L55)</f>
      </c>
    </row>
    <row r="1120" spans="1:5" ht="10.5">
      <c r="A1120" s="1">
        <f>IF(Sheet1!I56=0,"",Sheet1!H56)</f>
      </c>
      <c r="B1120" s="1">
        <f>IF(Sheet1!I56=0,"",Sheet1!I56)</f>
      </c>
      <c r="E1120" s="1">
        <f>IF(Sheet1!L56=0,"",Sheet1!L56)</f>
      </c>
    </row>
    <row r="1121" spans="1:5" ht="10.5">
      <c r="A1121" s="1">
        <f>IF(Sheet1!I57=0,"",Sheet1!H57)</f>
      </c>
      <c r="B1121" s="1">
        <f>IF(Sheet1!I57=0,"",Sheet1!I57)</f>
      </c>
      <c r="E1121" s="1">
        <f>IF(Sheet1!L57=0,"",Sheet1!L57)</f>
      </c>
    </row>
    <row r="1122" spans="1:5" ht="10.5">
      <c r="A1122" s="1">
        <f>IF(Sheet1!I58=0,"",Sheet1!H58)</f>
      </c>
      <c r="B1122" s="1">
        <f>IF(Sheet1!I58=0,"",Sheet1!I58)</f>
      </c>
      <c r="E1122" s="1">
        <f>IF(Sheet1!L58=0,"",Sheet1!L58)</f>
      </c>
    </row>
    <row r="1123" spans="1:5" ht="10.5">
      <c r="A1123" s="1">
        <f>IF(Sheet1!I59=0,"",Sheet1!H59)</f>
      </c>
      <c r="B1123" s="1">
        <f>IF(Sheet1!I59=0,"",Sheet1!I59)</f>
      </c>
      <c r="E1123" s="1">
        <f>IF(Sheet1!L59=0,"",Sheet1!L59)</f>
      </c>
    </row>
    <row r="1124" spans="1:5" ht="10.5">
      <c r="A1124" s="1">
        <f>IF(Sheet1!I60=0,"",Sheet1!H60)</f>
      </c>
      <c r="B1124" s="1">
        <f>IF(Sheet1!I60=0,"",Sheet1!I60)</f>
      </c>
      <c r="E1124" s="1">
        <f>IF(Sheet1!L60=0,"",Sheet1!L60)</f>
      </c>
    </row>
    <row r="1125" spans="1:5" ht="10.5">
      <c r="A1125" s="1">
        <f>IF(Sheet1!I61=0,"",Sheet1!H61)</f>
      </c>
      <c r="B1125" s="1">
        <f>IF(Sheet1!I61=0,"",Sheet1!I61)</f>
      </c>
      <c r="E1125" s="1">
        <f>IF(Sheet1!L61=0,"",Sheet1!L61)</f>
      </c>
    </row>
    <row r="1126" spans="1:5" ht="10.5">
      <c r="A1126" s="1">
        <f>IF(Sheet1!I62=0,"",Sheet1!H62)</f>
      </c>
      <c r="B1126" s="1">
        <f>IF(Sheet1!I62=0,"",Sheet1!I62)</f>
      </c>
      <c r="E1126" s="1">
        <f>IF(Sheet1!L62=0,"",Sheet1!L62)</f>
      </c>
    </row>
    <row r="1127" spans="1:5" ht="10.5">
      <c r="A1127" s="1">
        <f>IF(Sheet1!I63=0,"",Sheet1!H63)</f>
      </c>
      <c r="B1127" s="1">
        <f>IF(Sheet1!I63=0,"",Sheet1!I63)</f>
      </c>
      <c r="E1127" s="1">
        <f>IF(Sheet1!L63=0,"",Sheet1!L63)</f>
      </c>
    </row>
    <row r="1128" spans="1:5" ht="10.5">
      <c r="A1128" s="1">
        <f>IF(Sheet1!I64=0,"",Sheet1!H64)</f>
      </c>
      <c r="B1128" s="1">
        <f>IF(Sheet1!I64=0,"",Sheet1!I64)</f>
      </c>
      <c r="E1128" s="1">
        <f>IF(Sheet1!L64=0,"",Sheet1!L64)</f>
      </c>
    </row>
    <row r="1129" spans="1:5" ht="10.5">
      <c r="A1129" s="1">
        <f>IF(Sheet1!I65=0,"",Sheet1!H65)</f>
      </c>
      <c r="B1129" s="1">
        <f>IF(Sheet1!I65=0,"",Sheet1!I65)</f>
      </c>
      <c r="E1129" s="1">
        <f>IF(Sheet1!L65=0,"",Sheet1!L65)</f>
      </c>
    </row>
    <row r="1130" spans="1:5" ht="10.5">
      <c r="A1130" s="1">
        <f>IF(Sheet1!I66=0,"",Sheet1!H66)</f>
      </c>
      <c r="B1130" s="1">
        <f>IF(Sheet1!I66=0,"",Sheet1!I66)</f>
      </c>
      <c r="E1130" s="1">
        <f>IF(Sheet1!L66=0,"",Sheet1!L66)</f>
      </c>
    </row>
    <row r="1131" spans="1:5" ht="10.5">
      <c r="A1131" s="1" t="str">
        <f>IF(Sheet1!I71=0,"",Sheet1!H71)</f>
        <v>Stealth Skill Group</v>
      </c>
      <c r="B1131" s="1">
        <f>IF(Sheet1!I71=0,"",Sheet1!I71)</f>
        <v>4</v>
      </c>
      <c r="E1131" s="1">
        <f>""</f>
      </c>
    </row>
    <row r="1132" spans="1:5" ht="10.5">
      <c r="A1132" s="1" t="str">
        <f>IF(Sheet1!I72=0,"",Sheet1!H72)</f>
        <v>Athletics Skill Group</v>
      </c>
      <c r="B1132" s="1">
        <f>IF(Sheet1!I72=0,"",Sheet1!I72)</f>
        <v>4</v>
      </c>
      <c r="E1132" s="1">
        <f>""</f>
      </c>
    </row>
    <row r="1133" spans="1:5" ht="10.5">
      <c r="A1133" s="1">
        <f>IF(Sheet1!I73=0,"",Sheet1!H73)</f>
      </c>
      <c r="B1133" s="1">
        <f>IF(Sheet1!I73=0,"",Sheet1!I73)</f>
      </c>
      <c r="E1133" s="1">
        <f>""</f>
      </c>
    </row>
    <row r="1134" spans="1:5" ht="10.5">
      <c r="A1134" s="1">
        <f>IF(Sheet1!I74=0,"",Sheet1!H74)</f>
      </c>
      <c r="B1134" s="1">
        <f>IF(Sheet1!I74=0,"",Sheet1!I74)</f>
      </c>
      <c r="E1134" s="1">
        <f>""</f>
      </c>
    </row>
    <row r="1135" ht="10.5">
      <c r="E1135" s="1">
        <f>""</f>
      </c>
    </row>
    <row r="1161" spans="1:30" ht="10.5">
      <c r="A1161" s="1" t="s">
        <v>74</v>
      </c>
      <c r="B1161" s="1" t="s">
        <v>31</v>
      </c>
      <c r="C1161" s="1" t="e">
        <f>VLOOKUP(A1161,SkillGatherList,1,FALSE)</f>
        <v>#N/A</v>
      </c>
      <c r="D1161" s="1" t="e">
        <f>VLOOKUP(A1161,SkillGatherList,2,FALSE)</f>
        <v>#N/A</v>
      </c>
      <c r="E1161" s="1" t="e">
        <f>VLOOKUP(A1161,SkillGatherList,5,FALSE)</f>
        <v>#N/A</v>
      </c>
      <c r="AA1161" s="1">
        <f>IF(ISERROR(C1161)=TRUE,"",CONCATENATE(C1161,IF(B1161="","",CONCATENATE(" (",B1161,")")),CHAR(10)))</f>
      </c>
      <c r="AB1161" s="1">
        <f>IF(ISERROR(D1161)=TRUE,"",CONCATENATE(D1161,CHAR(10)))</f>
      </c>
      <c r="AC1161" s="1" t="e">
        <f>IF(LEN(E1161)&gt;0,CONCATENATE("(",E1161," +2)",CHAR(10)),CHAR(10))</f>
        <v>#N/A</v>
      </c>
      <c r="AD1161" s="1">
        <f>IF(ISERROR(AC1161)=TRUE,"",AC1161)</f>
      </c>
    </row>
    <row r="1162" spans="1:30" ht="10.5">
      <c r="A1162" s="1" t="s">
        <v>41</v>
      </c>
      <c r="B1162" s="1" t="s">
        <v>23</v>
      </c>
      <c r="C1162" s="1" t="e">
        <f>VLOOKUP(A1162,SkillGatherList,1,FALSE)</f>
        <v>#N/A</v>
      </c>
      <c r="D1162" s="1" t="e">
        <f>VLOOKUP(A1162,SkillGatherList,2,FALSE)</f>
        <v>#N/A</v>
      </c>
      <c r="E1162" s="1" t="e">
        <f>VLOOKUP(A1162,SkillGatherList,5,FALSE)</f>
        <v>#N/A</v>
      </c>
      <c r="AA1162" s="1">
        <f>IF(ISERROR(C1162)=TRUE,"",CONCATENATE(C1162,IF(B1162="","",CONCATENATE(" (",B1162,")")),CHAR(10)))</f>
      </c>
      <c r="AB1162" s="1">
        <f>IF(ISERROR(D1162)=TRUE,"",CONCATENATE(D1162,CHAR(10)))</f>
      </c>
      <c r="AC1162" s="1" t="e">
        <f>IF(LEN(E1162)&gt;0,CONCATENATE("(",E1162," +2)",CHAR(10)),CHAR(10))</f>
        <v>#N/A</v>
      </c>
      <c r="AD1162" s="1">
        <f>IF(ISERROR(AC1162)=TRUE,"",AC1162)</f>
      </c>
    </row>
    <row r="1163" spans="1:30" ht="10.5">
      <c r="A1163" s="1" t="s">
        <v>76</v>
      </c>
      <c r="B1163" s="1" t="s">
        <v>31</v>
      </c>
      <c r="C1163" s="1" t="e">
        <f>VLOOKUP(A1163,SkillGatherList,1,FALSE)</f>
        <v>#N/A</v>
      </c>
      <c r="D1163" s="1" t="e">
        <f>VLOOKUP(A1163,SkillGatherList,2,FALSE)</f>
        <v>#N/A</v>
      </c>
      <c r="E1163" s="1" t="e">
        <f>VLOOKUP(A1163,SkillGatherList,5,FALSE)</f>
        <v>#N/A</v>
      </c>
      <c r="AA1163" s="1">
        <f>IF(ISERROR(C1163)=TRUE,"",CONCATENATE(C1163,IF(B1163="","",CONCATENATE(" (",B1163,")")),CHAR(10)))</f>
      </c>
      <c r="AB1163" s="1">
        <f>IF(ISERROR(D1163)=TRUE,"",CONCATENATE(D1163,CHAR(10)))</f>
      </c>
      <c r="AC1163" s="1" t="e">
        <f>IF(LEN(E1163)&gt;0,CONCATENATE("(",E1163," +2)",CHAR(10)),CHAR(10))</f>
        <v>#N/A</v>
      </c>
      <c r="AD1163" s="1">
        <f>IF(ISERROR(AC1163)=TRUE,"",AC1163)</f>
      </c>
    </row>
    <row r="1164" spans="1:30" ht="10.5">
      <c r="A1164" s="1" t="s">
        <v>78</v>
      </c>
      <c r="B1164" s="1" t="s">
        <v>30</v>
      </c>
      <c r="C1164" s="1" t="e">
        <f>VLOOKUP(A1164,SkillGatherList,1,FALSE)</f>
        <v>#N/A</v>
      </c>
      <c r="D1164" s="1" t="e">
        <f>VLOOKUP(A1164,SkillGatherList,2,FALSE)</f>
        <v>#N/A</v>
      </c>
      <c r="E1164" s="1" t="e">
        <f>VLOOKUP(A1164,SkillGatherList,5,FALSE)</f>
        <v>#N/A</v>
      </c>
      <c r="AA1164" s="1">
        <f>IF(ISERROR(C1164)=TRUE,"",CONCATENATE(C1164,IF(B1164="","",CONCATENATE(" (",B1164,")")),CHAR(10)))</f>
      </c>
      <c r="AB1164" s="1">
        <f>IF(ISERROR(D1164)=TRUE,"",CONCATENATE(D1164,CHAR(10)))</f>
      </c>
      <c r="AC1164" s="1" t="e">
        <f>IF(LEN(E1164)&gt;0,CONCATENATE("(",E1164," +2)",CHAR(10)),CHAR(10))</f>
        <v>#N/A</v>
      </c>
      <c r="AD1164" s="1">
        <f>IF(ISERROR(AC1164)=TRUE,"",AC1164)</f>
      </c>
    </row>
    <row r="1165" spans="1:30" ht="11.25">
      <c r="A1165" s="1" t="s">
        <v>68</v>
      </c>
      <c r="B1165" s="1" t="s">
        <v>30</v>
      </c>
      <c r="C1165" s="1" t="e">
        <f>VLOOKUP(A1165,SkillGatherList,1,FALSE)</f>
        <v>#N/A</v>
      </c>
      <c r="D1165" s="1" t="e">
        <f>VLOOKUP(A1165,SkillGatherList,2,FALSE)</f>
        <v>#N/A</v>
      </c>
      <c r="E1165" s="1" t="e">
        <f>VLOOKUP(A1165,SkillGatherList,5,FALSE)</f>
        <v>#N/A</v>
      </c>
      <c r="AA1165" s="1">
        <f>IF(ISERROR(C1165)=TRUE,"",CONCATENATE(C1165,IF(B1165="","",CONCATENATE(" (",B1165,")")),CHAR(10)))</f>
      </c>
      <c r="AB1165" s="1">
        <f>IF(ISERROR(D1165)=TRUE,"",CONCATENATE(D1165,CHAR(10)))</f>
      </c>
      <c r="AC1165" s="1" t="e">
        <f>IF(LEN(E1165)&gt;0,CONCATENATE("(",E1165," +2)",CHAR(10)),CHAR(10))</f>
        <v>#N/A</v>
      </c>
      <c r="AD1165" s="1">
        <f>IF(ISERROR(AC1165)=TRUE,"",AC1165)</f>
      </c>
    </row>
    <row r="1166" spans="1:30" ht="10.5">
      <c r="A1166" s="1" t="s">
        <v>70</v>
      </c>
      <c r="B1166" s="1" t="s">
        <v>32</v>
      </c>
      <c r="C1166" s="1" t="e">
        <f>VLOOKUP(A1166,SkillGatherList,1,FALSE)</f>
        <v>#N/A</v>
      </c>
      <c r="D1166" s="1" t="e">
        <f>VLOOKUP(A1166,SkillGatherList,2,FALSE)</f>
        <v>#N/A</v>
      </c>
      <c r="E1166" s="1" t="e">
        <f>VLOOKUP(A1166,SkillGatherList,5,FALSE)</f>
        <v>#N/A</v>
      </c>
      <c r="AA1166" s="1">
        <f>IF(ISERROR(C1166)=TRUE,"",CONCATENATE(C1166,IF(B1166="","",CONCATENATE(" (",B1166,")")),CHAR(10)))</f>
      </c>
      <c r="AB1166" s="1">
        <f>IF(ISERROR(D1166)=TRUE,"",CONCATENATE(D1166,CHAR(10)))</f>
      </c>
      <c r="AC1166" s="1" t="e">
        <f>IF(LEN(E1166)&gt;0,CONCATENATE("(",E1166," +2)",CHAR(10)),CHAR(10))</f>
        <v>#N/A</v>
      </c>
      <c r="AD1166" s="1">
        <f>IF(ISERROR(AC1166)=TRUE,"",AC1166)</f>
      </c>
    </row>
    <row r="1167" spans="1:30" ht="10.5">
      <c r="A1167" s="1" t="str">
        <f>A213</f>
        <v>Athletics Skill Group</v>
      </c>
      <c r="B1167" s="1" t="str">
        <f>CONCATENATE(CHAR(10),"  + Climbing (Strength)",CHAR(10),"  + Gymnastics (Agility)",CHAR(10),"  + Running (Strength)",CHAR(10),"  + Swimming (Strength)")</f>
        <v>
  + Climbing (Strength)
  + Gymnastics (Agility)
  + Running (Strength)
  + Swimming (Strength)</v>
      </c>
      <c r="C1167" s="1" t="str">
        <f>VLOOKUP(A1167,SkillGatherList,1,FALSE)</f>
        <v>Athletics Skill Group</v>
      </c>
      <c r="D1167" s="1">
        <f>VLOOKUP(A1167,SkillGatherList,2,FALSE)</f>
        <v>4</v>
      </c>
      <c r="E1167" s="1">
        <f>VLOOKUP(A1167,SkillGatherList,5,FALSE)</f>
      </c>
      <c r="AA1167" s="1" t="str">
        <f>IF(ISERROR(C1167)=TRUE,"",CONCATENATE(C1167,IF(B1167="","",B1167),CHAR(10)))</f>
        <v>Athletics Skill Group
  + Climbing (Strength)
  + Gymnastics (Agility)
  + Running (Strength)
  + Swimming (Strength)
</v>
      </c>
      <c r="AB1167" s="1" t="str">
        <f>IF(ISERROR(D1167)=TRUE,"",CONCATENATE(D1167,CHAR(10),CHAR(10),CHAR(10),CHAR(10),CHAR(10)))</f>
        <v>4
</v>
      </c>
      <c r="AC1167" s="1" t="str">
        <f>IF(LEN(E1167)&gt;0,CONCATENATE("(",E1167," +2)",CHAR(10)),CHAR(10))</f>
        <v>
</v>
      </c>
      <c r="AD1167" s="1" t="str">
        <f>IF(ISERROR(AC1167)=TRUE,"",AC1167)</f>
        <v>
</v>
      </c>
    </row>
    <row r="1168" spans="1:30" ht="10.5">
      <c r="A1168" s="1" t="s">
        <v>43</v>
      </c>
      <c r="B1168" s="1" t="s">
        <v>23</v>
      </c>
      <c r="C1168" s="1" t="e">
        <f>VLOOKUP(A1168,SkillGatherList,1,FALSE)</f>
        <v>#N/A</v>
      </c>
      <c r="D1168" s="1" t="e">
        <f>VLOOKUP(A1168,SkillGatherList,2,FALSE)</f>
        <v>#N/A</v>
      </c>
      <c r="E1168" s="1" t="e">
        <f>VLOOKUP(A1168,SkillGatherList,5,FALSE)</f>
        <v>#N/A</v>
      </c>
      <c r="AA1168" s="1">
        <f>IF(ISERROR(C1168)=TRUE,"",CONCATENATE(C1168,IF(B1168="","",CONCATENATE(" (",B1168,")")),CHAR(10)))</f>
      </c>
      <c r="AB1168" s="1">
        <f>IF(ISERROR(D1168)=TRUE,"",CONCATENATE(D1168,CHAR(10)))</f>
      </c>
      <c r="AC1168" s="1" t="e">
        <f>IF(LEN(E1168)&gt;0,CONCATENATE("(",E1168," +2)",CHAR(10)),CHAR(10))</f>
        <v>#N/A</v>
      </c>
      <c r="AD1168" s="1">
        <f>IF(ISERROR(AC1168)=TRUE,"",AC1168)</f>
      </c>
    </row>
    <row r="1169" spans="1:30" ht="10.5">
      <c r="A1169" s="1" t="s">
        <v>80</v>
      </c>
      <c r="B1169" s="1" t="s">
        <v>31</v>
      </c>
      <c r="C1169" s="1" t="e">
        <f>VLOOKUP(A1169,SkillGatherList,1,FALSE)</f>
        <v>#N/A</v>
      </c>
      <c r="D1169" s="1" t="e">
        <f>VLOOKUP(A1169,SkillGatherList,2,FALSE)</f>
        <v>#N/A</v>
      </c>
      <c r="E1169" s="1" t="e">
        <f>VLOOKUP(A1169,SkillGatherList,5,FALSE)</f>
        <v>#N/A</v>
      </c>
      <c r="AA1169" s="1">
        <f>IF(ISERROR(C1169)=TRUE,"",CONCATENATE(C1169,IF(B1169="","",CONCATENATE(" (",B1169,")")),CHAR(10)))</f>
      </c>
      <c r="AB1169" s="1">
        <f>IF(ISERROR(D1169)=TRUE,"",CONCATENATE(D1169,CHAR(10)))</f>
      </c>
      <c r="AC1169" s="1" t="e">
        <f>IF(LEN(E1169)&gt;0,CONCATENATE("(",E1169," +2)",CHAR(10)),CHAR(10))</f>
        <v>#N/A</v>
      </c>
      <c r="AD1169" s="1">
        <f>IF(ISERROR(AC1169)=TRUE,"",AC1169)</f>
      </c>
    </row>
    <row r="1170" spans="1:30" ht="10.5">
      <c r="A1170" s="1" t="s">
        <v>71</v>
      </c>
      <c r="B1170" s="1" t="s">
        <v>34</v>
      </c>
      <c r="C1170" s="1" t="e">
        <f>VLOOKUP(A1170,SkillGatherList,1,FALSE)</f>
        <v>#N/A</v>
      </c>
      <c r="D1170" s="1" t="e">
        <f>VLOOKUP(A1170,SkillGatherList,2,FALSE)</f>
        <v>#N/A</v>
      </c>
      <c r="E1170" s="1" t="e">
        <f>VLOOKUP(A1170,SkillGatherList,5,FALSE)</f>
        <v>#N/A</v>
      </c>
      <c r="AA1170" s="1">
        <f>IF(ISERROR(C1170)=TRUE,"",CONCATENATE(C1170,IF(B1170="","",CONCATENATE(" (",B1170,")")),CHAR(10)))</f>
      </c>
      <c r="AB1170" s="1">
        <f>IF(ISERROR(D1170)=TRUE,"",CONCATENATE(D1170,CHAR(10)))</f>
      </c>
      <c r="AC1170" s="1" t="e">
        <f>IF(LEN(E1170)&gt;0,CONCATENATE("(",E1170," +2)",CHAR(10)),CHAR(10))</f>
        <v>#N/A</v>
      </c>
      <c r="AD1170" s="1">
        <f>IF(ISERROR(AC1170)=TRUE,"",AC1170)</f>
      </c>
    </row>
    <row r="1171" spans="1:30" ht="10.5">
      <c r="A1171" s="1" t="s">
        <v>73</v>
      </c>
      <c r="B1171" s="1" t="s">
        <v>34</v>
      </c>
      <c r="C1171" s="1" t="e">
        <f>VLOOKUP(A1171,SkillGatherList,1,FALSE)</f>
        <v>#N/A</v>
      </c>
      <c r="D1171" s="1" t="e">
        <f>VLOOKUP(A1171,SkillGatherList,2,FALSE)</f>
        <v>#N/A</v>
      </c>
      <c r="E1171" s="1" t="e">
        <f>VLOOKUP(A1171,SkillGatherList,5,FALSE)</f>
        <v>#N/A</v>
      </c>
      <c r="AA1171" s="1">
        <f>IF(ISERROR(C1171)=TRUE,"",CONCATENATE(C1171,IF(B1171="","",CONCATENATE(" (",B1171,")")),CHAR(10)))</f>
      </c>
      <c r="AB1171" s="1">
        <f>IF(ISERROR(D1171)=TRUE,"",CONCATENATE(D1171,CHAR(10)))</f>
      </c>
      <c r="AC1171" s="1" t="e">
        <f>IF(LEN(E1171)&gt;0,CONCATENATE("(",E1171," +2)",CHAR(10)),CHAR(10))</f>
        <v>#N/A</v>
      </c>
      <c r="AD1171" s="1">
        <f>IF(ISERROR(AC1171)=TRUE,"",AC1171)</f>
      </c>
    </row>
    <row r="1172" spans="1:30" ht="10.5">
      <c r="A1172" s="1" t="str">
        <f>A214</f>
        <v>Biotech Skill Group</v>
      </c>
      <c r="B1172" s="1" t="str">
        <f>CONCATENATE(CHAR(10),"  + Cybertechnology (Logic)",CHAR(10),"  + First-Aid (Logic)",CHAR(10),"  + Medicine (Logic)")</f>
        <v>
  + Cybertechnology (Logic)
  + First-Aid (Logic)
  + Medicine (Logic)</v>
      </c>
      <c r="C1172" s="1" t="e">
        <f>VLOOKUP(A1172,SkillGatherList,1,FALSE)</f>
        <v>#N/A</v>
      </c>
      <c r="D1172" s="1" t="e">
        <f>VLOOKUP(A1172,SkillGatherList,2,FALSE)</f>
        <v>#N/A</v>
      </c>
      <c r="E1172" s="1" t="e">
        <f>VLOOKUP(A1172,SkillGatherList,5,FALSE)</f>
        <v>#N/A</v>
      </c>
      <c r="AA1172" s="1">
        <f>IF(ISERROR(C1172)=TRUE,"",CONCATENATE(C1172,IF(B1172="","",B1172),CHAR(10)))</f>
      </c>
      <c r="AB1172" s="1">
        <f>IF(ISERROR(D1172)=TRUE,"",CONCATENATE(D1172,CHAR(10),CHAR(10),CHAR(10),CHAR(10)))</f>
      </c>
      <c r="AC1172" s="1" t="e">
        <f>IF(LEN(E1172)&gt;0,CONCATENATE("(",E1172," +2)",CHAR(10)),CHAR(10))</f>
        <v>#N/A</v>
      </c>
      <c r="AD1172" s="1">
        <f>IF(ISERROR(AC1172)=TRUE,"",AC1172)</f>
      </c>
    </row>
    <row r="1173" spans="1:30" ht="10.5">
      <c r="A1173" s="1" t="s">
        <v>45</v>
      </c>
      <c r="B1173" s="1" t="s">
        <v>23</v>
      </c>
      <c r="C1173" s="1" t="e">
        <f>VLOOKUP(A1173,SkillGatherList,1,FALSE)</f>
        <v>#N/A</v>
      </c>
      <c r="D1173" s="1" t="e">
        <f>VLOOKUP(A1173,SkillGatherList,2,FALSE)</f>
        <v>#N/A</v>
      </c>
      <c r="E1173" s="1" t="e">
        <f>VLOOKUP(A1173,SkillGatherList,5,FALSE)</f>
        <v>#N/A</v>
      </c>
      <c r="AA1173" s="1">
        <f>IF(ISERROR(C1173)=TRUE,"",CONCATENATE(C1173,IF(B1173="","",CONCATENATE(" (",B1173,")")),CHAR(10)))</f>
      </c>
      <c r="AB1173" s="1">
        <f>IF(ISERROR(D1173)=TRUE,"",CONCATENATE(D1173,CHAR(10)))</f>
      </c>
      <c r="AC1173" s="1" t="e">
        <f>IF(LEN(E1173)&gt;0,CONCATENATE("(",E1173," +2)",CHAR(10)),CHAR(10))</f>
        <v>#N/A</v>
      </c>
      <c r="AD1173" s="1">
        <f>IF(ISERROR(AC1173)=TRUE,"",AC1173)</f>
      </c>
    </row>
    <row r="1174" spans="1:30" ht="10.5">
      <c r="A1174" s="1" t="s">
        <v>42</v>
      </c>
      <c r="B1174" s="1" t="s">
        <v>27</v>
      </c>
      <c r="C1174" s="1" t="e">
        <f>VLOOKUP(A1174,SkillGatherList,1,FALSE)</f>
        <v>#N/A</v>
      </c>
      <c r="D1174" s="1" t="e">
        <f>VLOOKUP(A1174,SkillGatherList,2,FALSE)</f>
        <v>#N/A</v>
      </c>
      <c r="E1174" s="1" t="e">
        <f>VLOOKUP(A1174,SkillGatherList,5,FALSE)</f>
        <v>#N/A</v>
      </c>
      <c r="AA1174" s="1">
        <f>IF(ISERROR(C1174)=TRUE,"",CONCATENATE(C1174,IF(B1174="","",CONCATENATE(" (",B1174,")")),CHAR(10)))</f>
      </c>
      <c r="AB1174" s="1">
        <f>IF(ISERROR(D1174)=TRUE,"",CONCATENATE(D1174,CHAR(10)))</f>
      </c>
      <c r="AC1174" s="1" t="e">
        <f>IF(LEN(E1174)&gt;0,CONCATENATE("(",E1174," +2)",CHAR(10)),CHAR(10))</f>
        <v>#N/A</v>
      </c>
      <c r="AD1174" s="1">
        <f>IF(ISERROR(AC1174)=TRUE,"",AC1174)</f>
      </c>
    </row>
    <row r="1175" spans="1:30" ht="10.5">
      <c r="A1175" s="1" t="str">
        <f>A215</f>
        <v>Close Combat Skill Group</v>
      </c>
      <c r="B1175" s="1" t="str">
        <f>CONCATENATE(CHAR(10),"  + Blades (Agility)",CHAR(10),"  + Clubs (Agility)",CHAR(10),"  + Unarmed Combat (Agility)")</f>
        <v>
  + Blades (Agility)
  + Clubs (Agility)
  + Unarmed Combat (Agility)</v>
      </c>
      <c r="C1175" s="1" t="e">
        <f>VLOOKUP(A1175,SkillGatherList,1,FALSE)</f>
        <v>#N/A</v>
      </c>
      <c r="D1175" s="1" t="e">
        <f>VLOOKUP(A1175,SkillGatherList,2,FALSE)</f>
        <v>#N/A</v>
      </c>
      <c r="E1175" s="1" t="e">
        <f>VLOOKUP(A1175,SkillGatherList,5,FALSE)</f>
        <v>#N/A</v>
      </c>
      <c r="AA1175" s="1">
        <f>IF(ISERROR(C1175)=TRUE,"",CONCATENATE(C1175,IF(B1175="","",B1175),CHAR(10)))</f>
      </c>
      <c r="AB1175" s="1">
        <f>IF(ISERROR(D1175)=TRUE,"",CONCATENATE(D1175,CHAR(10),CHAR(10),CHAR(10),CHAR(10)))</f>
      </c>
      <c r="AC1175" s="1" t="e">
        <f>IF(LEN(E1175)&gt;0,CONCATENATE("(",E1175," +2)",CHAR(10)),CHAR(10))</f>
        <v>#N/A</v>
      </c>
      <c r="AD1175" s="1">
        <f>IF(ISERROR(AC1175)=TRUE,"",AC1175)</f>
      </c>
    </row>
    <row r="1176" spans="1:30" ht="10.5">
      <c r="A1176" s="1" t="s">
        <v>47</v>
      </c>
      <c r="B1176" s="1" t="s">
        <v>23</v>
      </c>
      <c r="C1176" s="1" t="e">
        <f>VLOOKUP(A1176,SkillGatherList,1,FALSE)</f>
        <v>#N/A</v>
      </c>
      <c r="D1176" s="1" t="e">
        <f>VLOOKUP(A1176,SkillGatherList,2,FALSE)</f>
        <v>#N/A</v>
      </c>
      <c r="E1176" s="1" t="e">
        <f>VLOOKUP(A1176,SkillGatherList,5,FALSE)</f>
        <v>#N/A</v>
      </c>
      <c r="AA1176" s="1">
        <f>IF(ISERROR(C1176)=TRUE,"",CONCATENATE(C1176,IF(B1176="","",CONCATENATE(" (",B1176,")")),CHAR(10)))</f>
      </c>
      <c r="AB1176" s="1">
        <f>IF(ISERROR(D1176)=TRUE,"",CONCATENATE(D1176,CHAR(10)))</f>
      </c>
      <c r="AC1176" s="1" t="e">
        <f>IF(LEN(E1176)&gt;0,CONCATENATE("(",E1176," +2)",CHAR(10)),CHAR(10))</f>
        <v>#N/A</v>
      </c>
      <c r="AD1176" s="1">
        <f>IF(ISERROR(AC1176)=TRUE,"",AC1176)</f>
      </c>
    </row>
    <row r="1177" spans="1:30" ht="10.5">
      <c r="A1177" s="1" t="s">
        <v>86</v>
      </c>
      <c r="B1177" s="1" t="s">
        <v>35</v>
      </c>
      <c r="C1177" s="1" t="e">
        <f>VLOOKUP(A1177,SkillGatherList,1,FALSE)</f>
        <v>#N/A</v>
      </c>
      <c r="D1177" s="1" t="e">
        <f>VLOOKUP(A1177,SkillGatherList,2,FALSE)</f>
        <v>#N/A</v>
      </c>
      <c r="E1177" s="1" t="e">
        <f>VLOOKUP(A1177,SkillGatherList,5,FALSE)</f>
        <v>#N/A</v>
      </c>
      <c r="AA1177" s="1">
        <f>IF(ISERROR(C1177)=TRUE,"",CONCATENATE(C1177,IF(B1177="","",CONCATENATE(" (",B1177,")")),CHAR(10)))</f>
      </c>
      <c r="AB1177" s="1">
        <f>IF(ISERROR(D1177)=TRUE,"",CONCATENATE(D1177,CHAR(10)))</f>
      </c>
      <c r="AC1177" s="1" t="e">
        <f>IF(LEN(E1177)&gt;0,CONCATENATE("(",E1177," +2)",CHAR(10)),CHAR(10))</f>
        <v>#N/A</v>
      </c>
      <c r="AD1177" s="1">
        <f>IF(ISERROR(AC1177)=TRUE,"",AC1177)</f>
      </c>
    </row>
    <row r="1178" spans="1:30" ht="10.5">
      <c r="A1178" s="1" t="s">
        <v>82</v>
      </c>
      <c r="B1178" s="1" t="s">
        <v>31</v>
      </c>
      <c r="C1178" s="1" t="e">
        <f>VLOOKUP(A1178,SkillGatherList,1,FALSE)</f>
        <v>#N/A</v>
      </c>
      <c r="D1178" s="1" t="e">
        <f>VLOOKUP(A1178,SkillGatherList,2,FALSE)</f>
        <v>#N/A</v>
      </c>
      <c r="E1178" s="1" t="e">
        <f>VLOOKUP(A1178,SkillGatherList,5,FALSE)</f>
        <v>#N/A</v>
      </c>
      <c r="AA1178" s="1">
        <f>IF(ISERROR(C1178)=TRUE,"",CONCATENATE(C1178,IF(B1178="","",CONCATENATE(" (",B1178,")")),CHAR(10)))</f>
      </c>
      <c r="AB1178" s="1">
        <f>IF(ISERROR(D1178)=TRUE,"",CONCATENATE(D1178,CHAR(10)))</f>
      </c>
      <c r="AC1178" s="1" t="e">
        <f>IF(LEN(E1178)&gt;0,CONCATENATE("(",E1178," +2)",CHAR(10)),CHAR(10))</f>
        <v>#N/A</v>
      </c>
      <c r="AD1178" s="1">
        <f>IF(ISERROR(AC1178)=TRUE,"",AC1178)</f>
      </c>
    </row>
    <row r="1179" spans="1:30" ht="10.5">
      <c r="A1179" s="1" t="s">
        <v>95</v>
      </c>
      <c r="B1179" s="1" t="s">
        <v>29</v>
      </c>
      <c r="C1179" s="1" t="e">
        <f>VLOOKUP(A1179,SkillGatherList,1,FALSE)</f>
        <v>#N/A</v>
      </c>
      <c r="D1179" s="1" t="e">
        <f>VLOOKUP(A1179,SkillGatherList,2,FALSE)</f>
        <v>#N/A</v>
      </c>
      <c r="E1179" s="1" t="e">
        <f>VLOOKUP(A1179,SkillGatherList,5,FALSE)</f>
        <v>#N/A</v>
      </c>
      <c r="AA1179" s="1">
        <f>IF(ISERROR(C1179)=TRUE,"",CONCATENATE(C1179,IF(B1179="","",CONCATENATE(" (",B1179,")")),CHAR(10)))</f>
      </c>
      <c r="AB1179" s="1">
        <f>IF(ISERROR(D1179)=TRUE,"",CONCATENATE(D1179,CHAR(10)))</f>
      </c>
      <c r="AC1179" s="1" t="e">
        <f>IF(LEN(E1179)&gt;0,CONCATENATE("(",E1179," +2)",CHAR(10)),CHAR(10))</f>
        <v>#N/A</v>
      </c>
      <c r="AD1179" s="1">
        <f>IF(ISERROR(AC1179)=TRUE,"",AC1179)</f>
      </c>
    </row>
    <row r="1180" spans="1:30" ht="10.5">
      <c r="A1180" s="1" t="str">
        <f>A216</f>
        <v>Conjuring Skill Group</v>
      </c>
      <c r="B1180" s="1" t="str">
        <f>CONCATENATE(CHAR(10),"  + Banishing (Magic)",CHAR(10),"  + Binding (Magic)",CHAR(10),"  + Summoning (MagicStat)")</f>
        <v>
  + Banishing (Magic)
  + Binding (Magic)
  + Summoning (MagicStat)</v>
      </c>
      <c r="C1180" s="1" t="e">
        <f>VLOOKUP(A1180,SkillGatherList,1,FALSE)</f>
        <v>#N/A</v>
      </c>
      <c r="D1180" s="1" t="e">
        <f>VLOOKUP(A1180,SkillGatherList,2,FALSE)</f>
        <v>#N/A</v>
      </c>
      <c r="E1180" s="1" t="e">
        <f>VLOOKUP(A1180,SkillGatherList,5,FALSE)</f>
        <v>#N/A</v>
      </c>
      <c r="AA1180" s="1">
        <f>IF(ISERROR(C1180)=TRUE,"",CONCATENATE(C1180,IF(B1180="","",B1180),CHAR(10)))</f>
      </c>
      <c r="AB1180" s="1">
        <f>IF(ISERROR(D1180)=TRUE,"",CONCATENATE(D1180,CHAR(10),CHAR(10),CHAR(10),CHAR(10)))</f>
      </c>
      <c r="AC1180" s="1" t="e">
        <f>IF(LEN(E1180)&gt;0,CONCATENATE("(",E1180," +2)",CHAR(10)),CHAR(10))</f>
        <v>#N/A</v>
      </c>
      <c r="AD1180" s="1">
        <f>IF(ISERROR(AC1180)=TRUE,"",AC1180)</f>
      </c>
    </row>
    <row r="1181" spans="1:30" ht="11.25">
      <c r="A1181" s="1" t="s">
        <v>75</v>
      </c>
      <c r="B1181" s="1" t="s">
        <v>34</v>
      </c>
      <c r="C1181" s="1" t="e">
        <f>VLOOKUP(A1181,SkillGatherList,1,FALSE)</f>
        <v>#N/A</v>
      </c>
      <c r="D1181" s="1" t="e">
        <f>VLOOKUP(A1181,SkillGatherList,2,FALSE)</f>
        <v>#N/A</v>
      </c>
      <c r="E1181" s="1" t="e">
        <f>VLOOKUP(A1181,SkillGatherList,5,FALSE)</f>
        <v>#N/A</v>
      </c>
      <c r="AA1181" s="1">
        <f>IF(ISERROR(C1181)=TRUE,"",CONCATENATE(C1181,IF(B1181="","",CONCATENATE(" (",B1181,")")),CHAR(10)))</f>
      </c>
      <c r="AB1181" s="1">
        <f>IF(ISERROR(D1181)=TRUE,"",CONCATENATE(D1181,CHAR(10)))</f>
      </c>
      <c r="AC1181" s="1" t="e">
        <f>IF(LEN(E1181)&gt;0,CONCATENATE("(",E1181," +2)",CHAR(10)),CHAR(10))</f>
        <v>#N/A</v>
      </c>
      <c r="AD1181" s="1">
        <f>IF(ISERROR(AC1181)=TRUE,"",AC1181)</f>
      </c>
    </row>
    <row r="1182" spans="1:30" ht="10.5">
      <c r="A1182" s="1" t="str">
        <f>A217</f>
        <v>Cracking Skill Group</v>
      </c>
      <c r="B1182" s="1" t="str">
        <f>CONCATENATE(CHAR(10),"  + Cybercombat (Logic)",CHAR(10),"  + Electronic Warfare (Logic)",CHAR(10),"  + Hacking (Logic)")</f>
        <v>
  + Cybercombat (Logic)
  + Electronic Warfare (Logic)
  + Hacking (Logic)</v>
      </c>
      <c r="C1182" s="1" t="e">
        <f>VLOOKUP(A1182,SkillGatherList,1,FALSE)</f>
        <v>#N/A</v>
      </c>
      <c r="D1182" s="1" t="e">
        <f>VLOOKUP(A1182,SkillGatherList,2,FALSE)</f>
        <v>#N/A</v>
      </c>
      <c r="E1182" s="1" t="e">
        <f>VLOOKUP(A1182,SkillGatherList,5,FALSE)</f>
        <v>#N/A</v>
      </c>
      <c r="AA1182" s="1">
        <f>IF(ISERROR(C1182)=TRUE,"",CONCATENATE(C1182,IF(B1182="","",B1182),CHAR(10)))</f>
      </c>
      <c r="AB1182" s="1">
        <f>IF(ISERROR(D1182)=TRUE,"",CONCATENATE(D1182,CHAR(10),CHAR(10),CHAR(10),CHAR(10)))</f>
      </c>
      <c r="AC1182" s="1" t="e">
        <f>IF(LEN(E1182)&gt;0,CONCATENATE("(",E1182," +2)",CHAR(10)),CHAR(10))</f>
        <v>#N/A</v>
      </c>
      <c r="AD1182" s="1">
        <f>IF(ISERROR(AC1182)=TRUE,"",AC1182)</f>
      </c>
    </row>
    <row r="1183" spans="1:30" ht="11.25">
      <c r="A1183" s="1" t="s">
        <v>83</v>
      </c>
      <c r="B1183" s="1" t="s">
        <v>31</v>
      </c>
      <c r="C1183" s="1" t="e">
        <f>VLOOKUP(A1183,SkillGatherList,1,FALSE)</f>
        <v>#N/A</v>
      </c>
      <c r="D1183" s="1" t="e">
        <f>VLOOKUP(A1183,SkillGatherList,2,FALSE)</f>
        <v>#N/A</v>
      </c>
      <c r="E1183" s="1" t="e">
        <f>VLOOKUP(A1183,SkillGatherList,5,FALSE)</f>
        <v>#N/A</v>
      </c>
      <c r="AA1183" s="1">
        <f>IF(ISERROR(C1183)=TRUE,"",CONCATENATE(C1183,IF(B1183="","",CONCATENATE(" (",B1183,")")),CHAR(10)))</f>
      </c>
      <c r="AB1183" s="1">
        <f>IF(ISERROR(D1183)=TRUE,"",CONCATENATE(D1183,CHAR(10)))</f>
      </c>
      <c r="AC1183" s="1" t="e">
        <f>IF(LEN(E1183)&gt;0,CONCATENATE("(",E1183," +2)",CHAR(10)),CHAR(10))</f>
        <v>#N/A</v>
      </c>
      <c r="AD1183" s="1">
        <f>IF(ISERROR(AC1183)=TRUE,"",AC1183)</f>
      </c>
    </row>
    <row r="1184" spans="1:30" ht="11.25">
      <c r="A1184" s="1" t="s">
        <v>85</v>
      </c>
      <c r="B1184" s="1" t="s">
        <v>31</v>
      </c>
      <c r="C1184" s="1" t="e">
        <f>VLOOKUP(A1184,SkillGatherList,1,FALSE)</f>
        <v>#N/A</v>
      </c>
      <c r="D1184" s="1" t="e">
        <f>VLOOKUP(A1184,SkillGatherList,2,FALSE)</f>
        <v>#N/A</v>
      </c>
      <c r="E1184" s="1" t="e">
        <f>VLOOKUP(A1184,SkillGatherList,5,FALSE)</f>
        <v>#N/A</v>
      </c>
      <c r="AA1184" s="1">
        <f>IF(ISERROR(C1184)=TRUE,"",CONCATENATE(C1184,IF(B1184="","",CONCATENATE(" (",B1184,")")),CHAR(10)))</f>
      </c>
      <c r="AB1184" s="1">
        <f>IF(ISERROR(D1184)=TRUE,"",CONCATENATE(D1184,CHAR(10)))</f>
      </c>
      <c r="AC1184" s="1" t="e">
        <f>IF(LEN(E1184)&gt;0,CONCATENATE("(",E1184," +2)",CHAR(10)),CHAR(10))</f>
        <v>#N/A</v>
      </c>
      <c r="AD1184" s="1">
        <f>IF(ISERROR(AC1184)=TRUE,"",AC1184)</f>
      </c>
    </row>
    <row r="1185" spans="1:30" ht="10.5">
      <c r="A1185" s="1" t="s">
        <v>87</v>
      </c>
      <c r="B1185" s="1" t="s">
        <v>31</v>
      </c>
      <c r="C1185" s="1" t="e">
        <f>VLOOKUP(A1185,SkillGatherList,1,FALSE)</f>
        <v>#N/A</v>
      </c>
      <c r="D1185" s="1" t="e">
        <f>VLOOKUP(A1185,SkillGatherList,2,FALSE)</f>
        <v>#N/A</v>
      </c>
      <c r="E1185" s="1" t="e">
        <f>VLOOKUP(A1185,SkillGatherList,5,FALSE)</f>
        <v>#N/A</v>
      </c>
      <c r="AA1185" s="1">
        <f>IF(ISERROR(C1185)=TRUE,"",CONCATENATE(C1185,IF(B1185="","",CONCATENATE(" (",B1185,")")),CHAR(10)))</f>
      </c>
      <c r="AB1185" s="1">
        <f>IF(ISERROR(D1185)=TRUE,"",CONCATENATE(D1185,CHAR(10)))</f>
      </c>
      <c r="AC1185" s="1" t="e">
        <f>IF(LEN(E1185)&gt;0,CONCATENATE("(",E1185," +2)",CHAR(10)),CHAR(10))</f>
        <v>#N/A</v>
      </c>
      <c r="AD1185" s="1">
        <f>IF(ISERROR(AC1185)=TRUE,"",AC1185)</f>
      </c>
    </row>
    <row r="1186" spans="1:30" ht="10.5">
      <c r="A1186" s="1" t="s">
        <v>88</v>
      </c>
      <c r="B1186" s="1" t="s">
        <v>35</v>
      </c>
      <c r="C1186" s="1" t="e">
        <f>VLOOKUP(A1186,SkillGatherList,1,FALSE)</f>
        <v>#N/A</v>
      </c>
      <c r="D1186" s="1" t="e">
        <f>VLOOKUP(A1186,SkillGatherList,2,FALSE)</f>
        <v>#N/A</v>
      </c>
      <c r="E1186" s="1" t="e">
        <f>VLOOKUP(A1186,SkillGatherList,5,FALSE)</f>
        <v>#N/A</v>
      </c>
      <c r="AA1186" s="1">
        <f>IF(ISERROR(C1186)=TRUE,"",CONCATENATE(C1186,IF(B1186="","",CONCATENATE(" (",B1186,")")),CHAR(10)))</f>
      </c>
      <c r="AB1186" s="1">
        <f>IF(ISERROR(D1186)=TRUE,"",CONCATENATE(D1186,CHAR(10)))</f>
      </c>
      <c r="AC1186" s="1" t="e">
        <f>IF(LEN(E1186)&gt;0,CONCATENATE("(",E1186," +2)",CHAR(10)),CHAR(10))</f>
        <v>#N/A</v>
      </c>
      <c r="AD1186" s="1">
        <f>IF(ISERROR(AC1186)=TRUE,"",AC1186)</f>
      </c>
    </row>
    <row r="1187" spans="1:30" ht="10.5">
      <c r="A1187" s="1" t="s">
        <v>89</v>
      </c>
      <c r="B1187" s="1" t="s">
        <v>31</v>
      </c>
      <c r="C1187" s="1" t="e">
        <f>VLOOKUP(A1187,SkillGatherList,1,FALSE)</f>
        <v>#N/A</v>
      </c>
      <c r="D1187" s="1" t="e">
        <f>VLOOKUP(A1187,SkillGatherList,2,FALSE)</f>
        <v>#N/A</v>
      </c>
      <c r="E1187" s="1" t="e">
        <f>VLOOKUP(A1187,SkillGatherList,5,FALSE)</f>
        <v>#N/A</v>
      </c>
      <c r="AA1187" s="1">
        <f>IF(ISERROR(C1187)=TRUE,"",CONCATENATE(C1187,IF(B1187="","",CONCATENATE(" (",B1187,")")),CHAR(10)))</f>
      </c>
      <c r="AB1187" s="1">
        <f>IF(ISERROR(D1187)=TRUE,"",CONCATENATE(D1187,CHAR(10)))</f>
      </c>
      <c r="AC1187" s="1" t="e">
        <f>IF(LEN(E1187)&gt;0,CONCATENATE("(",E1187," +2)",CHAR(10)),CHAR(10))</f>
        <v>#N/A</v>
      </c>
      <c r="AD1187" s="1">
        <f>IF(ISERROR(AC1187)=TRUE,"",AC1187)</f>
      </c>
    </row>
    <row r="1188" spans="1:30" ht="10.5">
      <c r="A1188" s="1" t="s">
        <v>44</v>
      </c>
      <c r="B1188" s="1" t="s">
        <v>30</v>
      </c>
      <c r="C1188" s="1" t="e">
        <f>VLOOKUP(A1188,SkillGatherList,1,FALSE)</f>
        <v>#N/A</v>
      </c>
      <c r="D1188" s="1" t="e">
        <f>VLOOKUP(A1188,SkillGatherList,2,FALSE)</f>
        <v>#N/A</v>
      </c>
      <c r="E1188" s="1" t="e">
        <f>VLOOKUP(A1188,SkillGatherList,5,FALSE)</f>
        <v>#N/A</v>
      </c>
      <c r="AA1188" s="1">
        <f>IF(ISERROR(C1188)=TRUE,"",CONCATENATE(C1188,IF(B1188="","",CONCATENATE(" (",B1188,")")),CHAR(10)))</f>
      </c>
      <c r="AB1188" s="1">
        <f>IF(ISERROR(D1188)=TRUE,"",CONCATENATE(D1188,CHAR(10)))</f>
      </c>
      <c r="AC1188" s="1" t="e">
        <f>IF(LEN(E1188)&gt;0,CONCATENATE("(",E1188," +2)",CHAR(10)),CHAR(10))</f>
        <v>#N/A</v>
      </c>
      <c r="AD1188" s="1">
        <f>IF(ISERROR(AC1188)=TRUE,"",AC1188)</f>
      </c>
    </row>
    <row r="1189" spans="1:30" ht="10.5">
      <c r="A1189" s="1" t="s">
        <v>46</v>
      </c>
      <c r="B1189" s="1" t="s">
        <v>22</v>
      </c>
      <c r="C1189" s="1" t="e">
        <f>VLOOKUP(A1189,SkillGatherList,1,FALSE)</f>
        <v>#N/A</v>
      </c>
      <c r="D1189" s="1" t="e">
        <f>VLOOKUP(A1189,SkillGatherList,2,FALSE)</f>
        <v>#N/A</v>
      </c>
      <c r="E1189" s="1" t="e">
        <f>VLOOKUP(A1189,SkillGatherList,5,FALSE)</f>
        <v>#N/A</v>
      </c>
      <c r="AA1189" s="1">
        <f>IF(ISERROR(C1189)=TRUE,"",CONCATENATE(C1189,IF(B1189="","",CONCATENATE(" (",B1189,")")),CHAR(10)))</f>
      </c>
      <c r="AB1189" s="1">
        <f>IF(ISERROR(D1189)=TRUE,"",CONCATENATE(D1189,CHAR(10)))</f>
      </c>
      <c r="AC1189" s="1" t="e">
        <f>IF(LEN(E1189)&gt;0,CONCATENATE("(",E1189," +2)",CHAR(10)),CHAR(10))</f>
        <v>#N/A</v>
      </c>
      <c r="AD1189" s="1">
        <f>IF(ISERROR(AC1189)=TRUE,"",AC1189)</f>
      </c>
    </row>
    <row r="1190" spans="1:30" ht="10.5">
      <c r="A1190" s="1" t="s">
        <v>49</v>
      </c>
      <c r="B1190" s="1" t="s">
        <v>25</v>
      </c>
      <c r="C1190" s="1" t="e">
        <f>VLOOKUP(A1190,SkillGatherList,1,FALSE)</f>
        <v>#N/A</v>
      </c>
      <c r="D1190" s="1" t="e">
        <f>VLOOKUP(A1190,SkillGatherList,2,FALSE)</f>
        <v>#N/A</v>
      </c>
      <c r="E1190" s="1" t="e">
        <f>VLOOKUP(A1190,SkillGatherList,5,FALSE)</f>
        <v>#N/A</v>
      </c>
      <c r="AA1190" s="1">
        <f>IF(ISERROR(C1190)=TRUE,"",CONCATENATE(C1190,IF(B1190="","",CONCATENATE(" (",B1190,")")),CHAR(10)))</f>
      </c>
      <c r="AB1190" s="1">
        <f>IF(ISERROR(D1190)=TRUE,"",CONCATENATE(D1190,CHAR(10)))</f>
      </c>
      <c r="AC1190" s="1" t="e">
        <f>IF(LEN(E1190)&gt;0,CONCATENATE("(",E1190," +2)",CHAR(10)),CHAR(10))</f>
        <v>#N/A</v>
      </c>
      <c r="AD1190" s="1">
        <f>IF(ISERROR(AC1190)=TRUE,"",AC1190)</f>
      </c>
    </row>
    <row r="1191" spans="1:30" ht="10.5">
      <c r="A1191" s="1" t="s">
        <v>91</v>
      </c>
      <c r="B1191" s="1" t="s">
        <v>31</v>
      </c>
      <c r="C1191" s="1" t="e">
        <f>VLOOKUP(A1191,SkillGatherList,1,FALSE)</f>
        <v>#N/A</v>
      </c>
      <c r="D1191" s="1" t="e">
        <f>VLOOKUP(A1191,SkillGatherList,2,FALSE)</f>
        <v>#N/A</v>
      </c>
      <c r="E1191" s="1" t="e">
        <f>VLOOKUP(A1191,SkillGatherList,5,FALSE)</f>
        <v>#N/A</v>
      </c>
      <c r="AA1191" s="1">
        <f>IF(ISERROR(C1191)=TRUE,"",CONCATENATE(C1191,IF(B1191="","",CONCATENATE(" (",B1191,")")),CHAR(10)))</f>
      </c>
      <c r="AB1191" s="1">
        <f>IF(ISERROR(D1191)=TRUE,"",CONCATENATE(D1191,CHAR(10)))</f>
      </c>
      <c r="AC1191" s="1" t="e">
        <f>IF(LEN(E1191)&gt;0,CONCATENATE("(",E1191," +2)",CHAR(10)),CHAR(10))</f>
        <v>#N/A</v>
      </c>
      <c r="AD1191" s="1">
        <f>IF(ISERROR(AC1191)=TRUE,"",AC1191)</f>
      </c>
    </row>
    <row r="1192" spans="1:30" ht="10.5">
      <c r="A1192" s="1" t="str">
        <f>A218</f>
        <v>Electronics Skill Group</v>
      </c>
      <c r="B1192" s="1" t="str">
        <f>CONCATENATE(CHAR(10),"  + Computer (Logic)",CHAR(10),"  + Data Search (Logic)",CHAR(10),"  + Hardware (Logic)",CHAR(10),"  + Software (Logic)")</f>
        <v>
  + Computer (Logic)
  + Data Search (Logic)
  + Hardware (Logic)
  + Software (Logic)</v>
      </c>
      <c r="C1192" s="1" t="e">
        <f>VLOOKUP(A1192,SkillGatherList,1,FALSE)</f>
        <v>#N/A</v>
      </c>
      <c r="D1192" s="1" t="e">
        <f>VLOOKUP(A1192,SkillGatherList,2,FALSE)</f>
        <v>#N/A</v>
      </c>
      <c r="E1192" s="1" t="e">
        <f>VLOOKUP(A1192,SkillGatherList,5,FALSE)</f>
        <v>#N/A</v>
      </c>
      <c r="AA1192" s="1">
        <f>IF(ISERROR(C1192)=TRUE,"",CONCATENATE(C1192,IF(B1192="","",B1192),CHAR(10)))</f>
      </c>
      <c r="AB1192" s="1">
        <f>IF(ISERROR(D1192)=TRUE,"",CONCATENATE(D1192,CHAR(10),CHAR(10),CHAR(10),CHAR(10),CHAR(10)))</f>
      </c>
      <c r="AC1192" s="1" t="e">
        <f>IF(LEN(E1192)&gt;0,CONCATENATE("(",E1192," +2)",CHAR(10)),CHAR(10))</f>
        <v>#N/A</v>
      </c>
      <c r="AD1192" s="1">
        <f>IF(ISERROR(AC1192)=TRUE,"",AC1192)</f>
      </c>
    </row>
    <row r="1193" spans="1:30" ht="10.5">
      <c r="A1193" s="1" t="s">
        <v>48</v>
      </c>
      <c r="B1193" s="1" t="s">
        <v>23</v>
      </c>
      <c r="C1193" s="1" t="e">
        <f>VLOOKUP(A1193,SkillGatherList,1,FALSE)</f>
        <v>#N/A</v>
      </c>
      <c r="D1193" s="1" t="e">
        <f>VLOOKUP(A1193,SkillGatherList,2,FALSE)</f>
        <v>#N/A</v>
      </c>
      <c r="E1193" s="1" t="e">
        <f>VLOOKUP(A1193,SkillGatherList,5,FALSE)</f>
        <v>#N/A</v>
      </c>
      <c r="AA1193" s="1">
        <f>IF(ISERROR(C1193)=TRUE,"",CONCATENATE(C1193,IF(B1193="","",CONCATENATE(" (",B1193,")")),CHAR(10)))</f>
      </c>
      <c r="AB1193" s="1">
        <f>IF(ISERROR(D1193)=TRUE,"",CONCATENATE(D1193,CHAR(10)))</f>
      </c>
      <c r="AC1193" s="1" t="e">
        <f>IF(LEN(E1193)&gt;0,CONCATENATE("(",E1193," +2)",CHAR(10)),CHAR(10))</f>
        <v>#N/A</v>
      </c>
      <c r="AD1193" s="1">
        <f>IF(ISERROR(AC1193)=TRUE,"",AC1193)</f>
      </c>
    </row>
    <row r="1194" spans="1:30" ht="10.5">
      <c r="A1194" s="1" t="s">
        <v>97</v>
      </c>
      <c r="B1194" s="1" t="s">
        <v>29</v>
      </c>
      <c r="C1194" s="1" t="e">
        <f>VLOOKUP(A1194,SkillGatherList,1,FALSE)</f>
        <v>#N/A</v>
      </c>
      <c r="D1194" s="1" t="e">
        <f>VLOOKUP(A1194,SkillGatherList,2,FALSE)</f>
        <v>#N/A</v>
      </c>
      <c r="E1194" s="1" t="e">
        <f>VLOOKUP(A1194,SkillGatherList,5,FALSE)</f>
        <v>#N/A</v>
      </c>
      <c r="AA1194" s="1">
        <f>IF(ISERROR(C1194)=TRUE,"",CONCATENATE(C1194,IF(B1194="","",CONCATENATE(" (",B1194,")")),CHAR(10)))</f>
      </c>
      <c r="AB1194" s="1">
        <f>IF(ISERROR(D1194)=TRUE,"",CONCATENATE(D1194,CHAR(10)))</f>
      </c>
      <c r="AC1194" s="1" t="e">
        <f>IF(LEN(E1194)&gt;0,CONCATENATE("(",E1194," +2)",CHAR(10)),CHAR(10))</f>
        <v>#N/A</v>
      </c>
      <c r="AD1194" s="1">
        <f>IF(ISERROR(AC1194)=TRUE,"",AC1194)</f>
      </c>
    </row>
    <row r="1195" spans="1:30" ht="11.25">
      <c r="A1195" s="1" t="s">
        <v>51</v>
      </c>
      <c r="B1195" s="1" t="s">
        <v>23</v>
      </c>
      <c r="C1195" s="1" t="e">
        <f>VLOOKUP(A1195,SkillGatherList,1,FALSE)</f>
        <v>#N/A</v>
      </c>
      <c r="D1195" s="1" t="e">
        <f>VLOOKUP(A1195,SkillGatherList,2,FALSE)</f>
        <v>#N/A</v>
      </c>
      <c r="E1195" s="1" t="e">
        <f>VLOOKUP(A1195,SkillGatherList,5,FALSE)</f>
        <v>#N/A</v>
      </c>
      <c r="AA1195" s="1">
        <f>IF(ISERROR(C1195)=TRUE,"",CONCATENATE(C1195,IF(B1195="","",CONCATENATE(" (",B1195,")")),CHAR(10)))</f>
      </c>
      <c r="AB1195" s="1">
        <f>IF(ISERROR(D1195)=TRUE,"",CONCATENATE(D1195,CHAR(10)))</f>
      </c>
      <c r="AC1195" s="1" t="e">
        <f>IF(LEN(E1195)&gt;0,CONCATENATE("(",E1195," +2)",CHAR(10)),CHAR(10))</f>
        <v>#N/A</v>
      </c>
      <c r="AD1195" s="1">
        <f>IF(ISERROR(AC1195)=TRUE,"",AC1195)</f>
      </c>
    </row>
    <row r="1196" spans="1:30" ht="10.5">
      <c r="A1196" s="1" t="s">
        <v>53</v>
      </c>
      <c r="B1196" s="1" t="s">
        <v>23</v>
      </c>
      <c r="C1196" s="1" t="e">
        <f>VLOOKUP(A1196,SkillGatherList,1,FALSE)</f>
        <v>#N/A</v>
      </c>
      <c r="D1196" s="1" t="e">
        <f>VLOOKUP(A1196,SkillGatherList,2,FALSE)</f>
        <v>#N/A</v>
      </c>
      <c r="E1196" s="1" t="e">
        <f>VLOOKUP(A1196,SkillGatherList,5,FALSE)</f>
        <v>#N/A</v>
      </c>
      <c r="AA1196" s="1">
        <f>IF(ISERROR(C1196)=TRUE,"",CONCATENATE(C1196,IF(B1196="","",CONCATENATE(" (",B1196,")")),CHAR(10)))</f>
      </c>
      <c r="AB1196" s="1">
        <f>IF(ISERROR(D1196)=TRUE,"",CONCATENATE(D1196,CHAR(10)))</f>
      </c>
      <c r="AC1196" s="1" t="e">
        <f>IF(LEN(E1196)&gt;0,CONCATENATE("(",E1196," +2)",CHAR(10)),CHAR(10))</f>
        <v>#N/A</v>
      </c>
      <c r="AD1196" s="1">
        <f>IF(ISERROR(AC1196)=TRUE,"",AC1196)</f>
      </c>
    </row>
    <row r="1197" spans="1:30" ht="10.5">
      <c r="A1197" s="1" t="str">
        <f>A219</f>
        <v>Firearms Skill Group</v>
      </c>
      <c r="B1197" s="1" t="str">
        <f>CONCATENATE(CHAR(10),"  + Automatics (Agility)",CHAR(10),"  +  Longarms (Agility)",CHAR(10),"  +  Pistols (Agility)")</f>
        <v>
  + Automatics (Agility)
  +  Longarms (Agility)
  +  Pistols (Agility)</v>
      </c>
      <c r="C1197" s="1" t="e">
        <f>VLOOKUP(A1197,SkillGatherList,1,FALSE)</f>
        <v>#N/A</v>
      </c>
      <c r="D1197" s="1" t="e">
        <f>VLOOKUP(A1197,SkillGatherList,2,FALSE)</f>
        <v>#N/A</v>
      </c>
      <c r="E1197" s="1" t="e">
        <f>VLOOKUP(A1197,SkillGatherList,5,FALSE)</f>
        <v>#N/A</v>
      </c>
      <c r="AA1197" s="1">
        <f>IF(ISERROR(C1197)=TRUE,"",CONCATENATE(C1197,IF(B1197="","",B1197),CHAR(10)))</f>
      </c>
      <c r="AB1197" s="1">
        <f>IF(ISERROR(D1197)=TRUE,"",CONCATENATE(D1197,CHAR(10),CHAR(10),CHAR(10),CHAR(10)))</f>
      </c>
      <c r="AC1197" s="1" t="e">
        <f>IF(LEN(E1197)&gt;0,CONCATENATE("(",E1197," +2)",CHAR(10)),CHAR(10))</f>
        <v>#N/A</v>
      </c>
      <c r="AD1197" s="1">
        <f>IF(ISERROR(AC1197)=TRUE,"",AC1197)</f>
      </c>
    </row>
    <row r="1198" spans="1:30" ht="10.5">
      <c r="A1198" s="1" t="s">
        <v>92</v>
      </c>
      <c r="B1198" s="1" t="s">
        <v>31</v>
      </c>
      <c r="C1198" s="1" t="e">
        <f>VLOOKUP(A1198,SkillGatherList,1,FALSE)</f>
        <v>#N/A</v>
      </c>
      <c r="D1198" s="1" t="e">
        <f>VLOOKUP(A1198,SkillGatherList,2,FALSE)</f>
        <v>#N/A</v>
      </c>
      <c r="E1198" s="1" t="e">
        <f>VLOOKUP(A1198,SkillGatherList,5,FALSE)</f>
        <v>#N/A</v>
      </c>
      <c r="AA1198" s="1">
        <f>IF(ISERROR(C1198)=TRUE,"",CONCATENATE(C1198,IF(B1198="","",CONCATENATE(" (",B1198,")")),CHAR(10)))</f>
      </c>
      <c r="AB1198" s="1">
        <f>IF(ISERROR(D1198)=TRUE,"",CONCATENATE(D1198,CHAR(10)))</f>
      </c>
      <c r="AC1198" s="1" t="e">
        <f>IF(LEN(E1198)&gt;0,CONCATENATE("(",E1198," +2)",CHAR(10)),CHAR(10))</f>
        <v>#N/A</v>
      </c>
      <c r="AD1198" s="1">
        <f>IF(ISERROR(AC1198)=TRUE,"",AC1198)</f>
      </c>
    </row>
    <row r="1199" spans="1:30" ht="10.5">
      <c r="A1199" s="1" t="s">
        <v>94</v>
      </c>
      <c r="B1199" s="1" t="s">
        <v>23</v>
      </c>
      <c r="C1199" s="1" t="e">
        <f>VLOOKUP(A1199,SkillGatherList,1,FALSE)</f>
        <v>#N/A</v>
      </c>
      <c r="D1199" s="1" t="e">
        <f>VLOOKUP(A1199,SkillGatherList,2,FALSE)</f>
        <v>#N/A</v>
      </c>
      <c r="E1199" s="1" t="e">
        <f>VLOOKUP(A1199,SkillGatherList,5,FALSE)</f>
        <v>#N/A</v>
      </c>
      <c r="AA1199" s="1">
        <f>IF(ISERROR(C1199)=TRUE,"",CONCATENATE(C1199,IF(B1199="","",CONCATENATE(" (",B1199,")")),CHAR(10)))</f>
      </c>
      <c r="AB1199" s="1">
        <f>IF(ISERROR(D1199)=TRUE,"",CONCATENATE(D1199,CHAR(10)))</f>
      </c>
      <c r="AC1199" s="1" t="e">
        <f>IF(LEN(E1199)&gt;0,CONCATENATE("(",E1199," +2)",CHAR(10)),CHAR(10))</f>
        <v>#N/A</v>
      </c>
      <c r="AD1199" s="1">
        <f>IF(ISERROR(AC1199)=TRUE,"",AC1199)</f>
      </c>
    </row>
    <row r="1200" spans="1:30" ht="10.5">
      <c r="A1200" s="1" t="s">
        <v>109</v>
      </c>
      <c r="B1200" s="1" t="s">
        <v>23</v>
      </c>
      <c r="C1200" s="1" t="e">
        <f>VLOOKUP(A1200,SkillGatherList,1,FALSE)</f>
        <v>#N/A</v>
      </c>
      <c r="D1200" s="1" t="e">
        <f>VLOOKUP(A1200,SkillGatherList,2,FALSE)</f>
        <v>#N/A</v>
      </c>
      <c r="E1200" s="1" t="e">
        <f>VLOOKUP(A1200,SkillGatherList,5,FALSE)</f>
        <v>#N/A</v>
      </c>
      <c r="AA1200" s="1">
        <f>IF(ISERROR(C1200)=TRUE,"",CONCATENATE(C1200,IF(B1200="","",CONCATENATE(" (",B1200,")")),CHAR(10)))</f>
      </c>
      <c r="AB1200" s="1">
        <f>IF(ISERROR(D1200)=TRUE,"",CONCATENATE(D1200,CHAR(10)))</f>
      </c>
      <c r="AC1200" s="1" t="e">
        <f>IF(LEN(E1200)&gt;0,CONCATENATE("(",E1200," +2)",CHAR(10)),CHAR(10))</f>
        <v>#N/A</v>
      </c>
      <c r="AD1200" s="1">
        <f>IF(ISERROR(AC1200)=TRUE,"",AC1200)</f>
      </c>
    </row>
    <row r="1201" spans="1:30" ht="10.5">
      <c r="A1201" s="1" t="s">
        <v>50</v>
      </c>
      <c r="B1201" s="1" t="s">
        <v>23</v>
      </c>
      <c r="C1201" s="1" t="e">
        <f>VLOOKUP(A1201,SkillGatherList,1,FALSE)</f>
        <v>#N/A</v>
      </c>
      <c r="D1201" s="1" t="e">
        <f>VLOOKUP(A1201,SkillGatherList,2,FALSE)</f>
        <v>#N/A</v>
      </c>
      <c r="E1201" s="1" t="e">
        <f>VLOOKUP(A1201,SkillGatherList,5,FALSE)</f>
        <v>#N/A</v>
      </c>
      <c r="AA1201" s="1">
        <f>IF(ISERROR(C1201)=TRUE,"",CONCATENATE(C1201,IF(B1201="","",CONCATENATE(" (",B1201,")")),CHAR(10)))</f>
      </c>
      <c r="AB1201" s="1">
        <f>IF(ISERROR(D1201)=TRUE,"",CONCATENATE(D1201,CHAR(10)))</f>
      </c>
      <c r="AC1201" s="1" t="e">
        <f>IF(LEN(E1201)&gt;0,CONCATENATE("(",E1201," +2)",CHAR(10)),CHAR(10))</f>
        <v>#N/A</v>
      </c>
      <c r="AD1201" s="1">
        <f>IF(ISERROR(AC1201)=TRUE,"",AC1201)</f>
      </c>
    </row>
    <row r="1202" spans="1:30" ht="10.5">
      <c r="A1202" s="1" t="s">
        <v>96</v>
      </c>
      <c r="B1202" s="1" t="s">
        <v>31</v>
      </c>
      <c r="C1202" s="1" t="e">
        <f>VLOOKUP(A1202,SkillGatherList,1,FALSE)</f>
        <v>#N/A</v>
      </c>
      <c r="D1202" s="1" t="e">
        <f>VLOOKUP(A1202,SkillGatherList,2,FALSE)</f>
        <v>#N/A</v>
      </c>
      <c r="E1202" s="1" t="e">
        <f>VLOOKUP(A1202,SkillGatherList,5,FALSE)</f>
        <v>#N/A</v>
      </c>
      <c r="AA1202" s="1">
        <f>IF(ISERROR(C1202)=TRUE,"",CONCATENATE(C1202,IF(B1202="","",CONCATENATE(" (",B1202,")")),CHAR(10)))</f>
      </c>
      <c r="AB1202" s="1">
        <f>IF(ISERROR(D1202)=TRUE,"",CONCATENATE(D1202,CHAR(10)))</f>
      </c>
      <c r="AC1202" s="1" t="e">
        <f>IF(LEN(E1202)&gt;0,CONCATENATE("(",E1202," +2)",CHAR(10)),CHAR(10))</f>
        <v>#N/A</v>
      </c>
      <c r="AD1202" s="1">
        <f>IF(ISERROR(AC1202)=TRUE,"",AC1202)</f>
      </c>
    </row>
    <row r="1203" spans="1:30" ht="10.5">
      <c r="A1203" s="1" t="s">
        <v>98</v>
      </c>
      <c r="B1203" s="1" t="s">
        <v>31</v>
      </c>
      <c r="C1203" s="1" t="e">
        <f>VLOOKUP(A1203,SkillGatherList,1,FALSE)</f>
        <v>#N/A</v>
      </c>
      <c r="D1203" s="1" t="e">
        <f>VLOOKUP(A1203,SkillGatherList,2,FALSE)</f>
        <v>#N/A</v>
      </c>
      <c r="E1203" s="1" t="e">
        <f>VLOOKUP(A1203,SkillGatherList,5,FALSE)</f>
        <v>#N/A</v>
      </c>
      <c r="AA1203" s="1">
        <f>IF(ISERROR(C1203)=TRUE,"",CONCATENATE(C1203,IF(B1203="","",CONCATENATE(" (",B1203,")")),CHAR(10)))</f>
      </c>
      <c r="AB1203" s="1">
        <f>IF(ISERROR(D1203)=TRUE,"",CONCATENATE(D1203,CHAR(10)))</f>
      </c>
      <c r="AC1203" s="1" t="e">
        <f>IF(LEN(E1203)&gt;0,CONCATENATE("(",E1203," +2)",CHAR(10)),CHAR(10))</f>
        <v>#N/A</v>
      </c>
      <c r="AD1203" s="1">
        <f>IF(ISERROR(AC1203)=TRUE,"",AC1203)</f>
      </c>
    </row>
    <row r="1204" spans="1:30" ht="10.5">
      <c r="A1204" s="1" t="s">
        <v>55</v>
      </c>
      <c r="B1204" s="1" t="s">
        <v>23</v>
      </c>
      <c r="C1204" s="1" t="e">
        <f>VLOOKUP(A1204,SkillGatherList,1,FALSE)</f>
        <v>#N/A</v>
      </c>
      <c r="D1204" s="1" t="e">
        <f>VLOOKUP(A1204,SkillGatherList,2,FALSE)</f>
        <v>#N/A</v>
      </c>
      <c r="E1204" s="1" t="e">
        <f>VLOOKUP(A1204,SkillGatherList,5,FALSE)</f>
        <v>#N/A</v>
      </c>
      <c r="AA1204" s="1">
        <f>IF(ISERROR(C1204)=TRUE,"",CONCATENATE(C1204,IF(B1204="","",CONCATENATE(" (",B1204,")")),CHAR(10)))</f>
      </c>
      <c r="AB1204" s="1">
        <f>IF(ISERROR(D1204)=TRUE,"",CONCATENATE(D1204,CHAR(10)))</f>
      </c>
      <c r="AC1204" s="1" t="e">
        <f>IF(LEN(E1204)&gt;0,CONCATENATE("(",E1204," +2)",CHAR(10)),CHAR(10))</f>
        <v>#N/A</v>
      </c>
      <c r="AD1204" s="1">
        <f>IF(ISERROR(AC1204)=TRUE,"",AC1204)</f>
      </c>
    </row>
    <row r="1205" spans="1:30" ht="10.5">
      <c r="A1205" s="1" t="s">
        <v>100</v>
      </c>
      <c r="B1205" s="1" t="s">
        <v>31</v>
      </c>
      <c r="C1205" s="1" t="e">
        <f>VLOOKUP(A1205,SkillGatherList,1,FALSE)</f>
        <v>#N/A</v>
      </c>
      <c r="D1205" s="1" t="e">
        <f>VLOOKUP(A1205,SkillGatherList,2,FALSE)</f>
        <v>#N/A</v>
      </c>
      <c r="E1205" s="1" t="e">
        <f>VLOOKUP(A1205,SkillGatherList,5,FALSE)</f>
        <v>#N/A</v>
      </c>
      <c r="AA1205" s="1">
        <f>IF(ISERROR(C1205)=TRUE,"",CONCATENATE(C1205,IF(B1205="","",CONCATENATE(" (",B1205,")")),CHAR(10)))</f>
      </c>
      <c r="AB1205" s="1">
        <f>IF(ISERROR(D1205)=TRUE,"",CONCATENATE(D1205,CHAR(10)))</f>
      </c>
      <c r="AC1205" s="1" t="e">
        <f>IF(LEN(E1205)&gt;0,CONCATENATE("(",E1205," +2)",CHAR(10)),CHAR(10))</f>
        <v>#N/A</v>
      </c>
      <c r="AD1205" s="1">
        <f>IF(ISERROR(AC1205)=TRUE,"",AC1205)</f>
      </c>
    </row>
    <row r="1206" spans="1:30" ht="10.5">
      <c r="A1206" s="1" t="s">
        <v>52</v>
      </c>
      <c r="B1206" s="1" t="s">
        <v>23</v>
      </c>
      <c r="C1206" s="1" t="e">
        <f>VLOOKUP(A1206,SkillGatherList,1,FALSE)</f>
        <v>#N/A</v>
      </c>
      <c r="D1206" s="1" t="e">
        <f>VLOOKUP(A1206,SkillGatherList,2,FALSE)</f>
        <v>#N/A</v>
      </c>
      <c r="E1206" s="1" t="e">
        <f>VLOOKUP(A1206,SkillGatherList,5,FALSE)</f>
        <v>#N/A</v>
      </c>
      <c r="AA1206" s="1">
        <f>IF(ISERROR(C1206)=TRUE,"",CONCATENATE(C1206,IF(B1206="","",CONCATENATE(" (",B1206,")")),CHAR(10)))</f>
      </c>
      <c r="AB1206" s="1">
        <f>IF(ISERROR(D1206)=TRUE,"",CONCATENATE(D1206,CHAR(10)))</f>
      </c>
      <c r="AC1206" s="1" t="e">
        <f>IF(LEN(E1206)&gt;0,CONCATENATE("(",E1206," +2)",CHAR(10)),CHAR(10))</f>
        <v>#N/A</v>
      </c>
      <c r="AD1206" s="1">
        <f>IF(ISERROR(AC1206)=TRUE,"",AC1206)</f>
      </c>
    </row>
    <row r="1207" spans="1:30" ht="10.5">
      <c r="A1207" s="1" t="str">
        <f>A220</f>
        <v>Influence Skill Group</v>
      </c>
      <c r="B1207" s="1" t="str">
        <f>CONCATENATE(CHAR(10),"  + Con (Charisma)",CHAR(10),"  + Etiquette (Charisma)",CHAR(10),"  + Leadership (Charisma)",CHAR(10),"  + Negotiation (Charisma)")</f>
        <v>
  + Con (Charisma)
  + Etiquette (Charisma)
  + Leadership (Charisma)
  + Negotiation (Charisma)</v>
      </c>
      <c r="C1207" s="1" t="e">
        <f>VLOOKUP(A1207,SkillGatherList,1,FALSE)</f>
        <v>#N/A</v>
      </c>
      <c r="D1207" s="1" t="e">
        <f>VLOOKUP(A1207,SkillGatherList,2,FALSE)</f>
        <v>#N/A</v>
      </c>
      <c r="E1207" s="1" t="e">
        <f>VLOOKUP(A1207,SkillGatherList,5,FALSE)</f>
        <v>#N/A</v>
      </c>
      <c r="AA1207" s="1">
        <f>IF(ISERROR(C1207)=TRUE,"",CONCATENATE(C1207,IF(B1207="","",B1207),CHAR(10)))</f>
      </c>
      <c r="AB1207" s="1">
        <f>IF(ISERROR(D1207)=TRUE,"",CONCATENATE(D1207,CHAR(10),CHAR(10),CHAR(10),CHAR(10),CHAR(10)))</f>
      </c>
      <c r="AC1207" s="1" t="e">
        <f>IF(LEN(E1207)&gt;0,CONCATENATE("(",E1207," +2)",CHAR(10)),CHAR(10))</f>
        <v>#N/A</v>
      </c>
      <c r="AD1207" s="1">
        <f>IF(ISERROR(AC1207)=TRUE,"",AC1207)</f>
      </c>
    </row>
    <row r="1208" spans="1:30" ht="10.5">
      <c r="A1208" s="1" t="s">
        <v>99</v>
      </c>
      <c r="B1208" s="1" t="s">
        <v>29</v>
      </c>
      <c r="C1208" s="1" t="e">
        <f>VLOOKUP(A1208,SkillGatherList,1,FALSE)</f>
        <v>#N/A</v>
      </c>
      <c r="D1208" s="1" t="e">
        <f>VLOOKUP(A1208,SkillGatherList,2,FALSE)</f>
        <v>#N/A</v>
      </c>
      <c r="E1208" s="1" t="e">
        <f>VLOOKUP(A1208,SkillGatherList,5,FALSE)</f>
        <v>#N/A</v>
      </c>
      <c r="AA1208" s="1">
        <f>IF(ISERROR(C1208)=TRUE,"",CONCATENATE(C1208,IF(B1208="","",CONCATENATE(" (",B1208,")")),CHAR(10)))</f>
      </c>
      <c r="AB1208" s="1">
        <f>IF(ISERROR(D1208)=TRUE,"",CONCATENATE(D1208,CHAR(10)))</f>
      </c>
      <c r="AC1208" s="1" t="e">
        <f>IF(LEN(E1208)&gt;0,CONCATENATE("(",E1208," +2)",CHAR(10)),CHAR(10))</f>
        <v>#N/A</v>
      </c>
      <c r="AD1208" s="1">
        <f>IF(ISERROR(AC1208)=TRUE,"",AC1208)</f>
      </c>
    </row>
    <row r="1209" spans="1:30" ht="10.5">
      <c r="A1209" s="1" t="s">
        <v>101</v>
      </c>
      <c r="B1209" s="1" t="s">
        <v>29</v>
      </c>
      <c r="C1209" s="1" t="e">
        <f>VLOOKUP(A1209,SkillGatherList,1,FALSE)</f>
        <v>#N/A</v>
      </c>
      <c r="D1209" s="1" t="e">
        <f>VLOOKUP(A1209,SkillGatherList,2,FALSE)</f>
        <v>#N/A</v>
      </c>
      <c r="E1209" s="1" t="e">
        <f>VLOOKUP(A1209,SkillGatherList,5,FALSE)</f>
        <v>#N/A</v>
      </c>
      <c r="AA1209" s="1">
        <f>IF(ISERROR(C1209)=TRUE,"",CONCATENATE(C1209,IF(B1209="","",CONCATENATE(" (",B1209,")")),CHAR(10)))</f>
      </c>
      <c r="AB1209" s="1">
        <f>IF(ISERROR(D1209)=TRUE,"",CONCATENATE(D1209,CHAR(10)))</f>
      </c>
      <c r="AC1209" s="1" t="e">
        <f>IF(LEN(E1209)&gt;0,CONCATENATE("(",E1209," +2)",CHAR(10)),CHAR(10))</f>
        <v>#N/A</v>
      </c>
      <c r="AD1209" s="1">
        <f>IF(ISERROR(AC1209)=TRUE,"",AC1209)</f>
      </c>
    </row>
    <row r="1210" spans="1:30" ht="10.5">
      <c r="A1210" s="1" t="s">
        <v>103</v>
      </c>
      <c r="B1210" s="1" t="s">
        <v>29</v>
      </c>
      <c r="C1210" s="1" t="e">
        <f>VLOOKUP(A1210,SkillGatherList,1,FALSE)</f>
        <v>#N/A</v>
      </c>
      <c r="D1210" s="1" t="e">
        <f>VLOOKUP(A1210,SkillGatherList,2,FALSE)</f>
        <v>#N/A</v>
      </c>
      <c r="E1210" s="1" t="e">
        <f>VLOOKUP(A1210,SkillGatherList,5,FALSE)</f>
        <v>#N/A</v>
      </c>
      <c r="AA1210" s="1">
        <f>IF(ISERROR(C1210)=TRUE,"",CONCATENATE(C1210,IF(B1210="","",CONCATENATE(" (",B1210,")")),CHAR(10)))</f>
      </c>
      <c r="AB1210" s="1">
        <f>IF(ISERROR(D1210)=TRUE,"",CONCATENATE(D1210,CHAR(10)))</f>
      </c>
      <c r="AC1210" s="1" t="e">
        <f>IF(LEN(E1210)&gt;0,CONCATENATE("(",E1210," +2)",CHAR(10)),CHAR(10))</f>
        <v>#N/A</v>
      </c>
      <c r="AD1210" s="1">
        <f>IF(ISERROR(AC1210)=TRUE,"",AC1210)</f>
      </c>
    </row>
    <row r="1211" spans="1:30" ht="10.5">
      <c r="A1211" s="1" t="s">
        <v>102</v>
      </c>
      <c r="B1211" s="1" t="s">
        <v>23</v>
      </c>
      <c r="C1211" s="1" t="e">
        <f>VLOOKUP(A1211,SkillGatherList,1,FALSE)</f>
        <v>#N/A</v>
      </c>
      <c r="D1211" s="1" t="e">
        <f>VLOOKUP(A1211,SkillGatherList,2,FALSE)</f>
        <v>#N/A</v>
      </c>
      <c r="E1211" s="1" t="e">
        <f>VLOOKUP(A1211,SkillGatherList,5,FALSE)</f>
        <v>#N/A</v>
      </c>
      <c r="AA1211" s="1">
        <f>IF(ISERROR(C1211)=TRUE,"",CONCATENATE(C1211,IF(B1211="","",CONCATENATE(" (",B1211,")")),CHAR(10)))</f>
      </c>
      <c r="AB1211" s="1">
        <f>IF(ISERROR(D1211)=TRUE,"",CONCATENATE(D1211,CHAR(10)))</f>
      </c>
      <c r="AC1211" s="1" t="e">
        <f>IF(LEN(E1211)&gt;0,CONCATENATE("(",E1211," +2)",CHAR(10)),CHAR(10))</f>
        <v>#N/A</v>
      </c>
      <c r="AD1211" s="1">
        <f>IF(ISERROR(AC1211)=TRUE,"",AC1211)</f>
      </c>
    </row>
    <row r="1212" spans="1:30" ht="11.25">
      <c r="A1212" s="1" t="s">
        <v>57</v>
      </c>
      <c r="B1212" s="1" t="s">
        <v>23</v>
      </c>
      <c r="C1212" s="1" t="e">
        <f>VLOOKUP(A1212,SkillGatherList,1,FALSE)</f>
        <v>#N/A</v>
      </c>
      <c r="D1212" s="1" t="e">
        <f>VLOOKUP(A1212,SkillGatherList,2,FALSE)</f>
        <v>#N/A</v>
      </c>
      <c r="E1212" s="1" t="e">
        <f>VLOOKUP(A1212,SkillGatherList,5,FALSE)</f>
        <v>#N/A</v>
      </c>
      <c r="AA1212" s="1">
        <f>IF(ISERROR(C1212)=TRUE,"",CONCATENATE(C1212,IF(B1212="","",CONCATENATE(" (",B1212,")")),CHAR(10)))</f>
      </c>
      <c r="AB1212" s="1">
        <f>IF(ISERROR(D1212)=TRUE,"",CONCATENATE(D1212,CHAR(10)))</f>
      </c>
      <c r="AC1212" s="1" t="e">
        <f>IF(LEN(E1212)&gt;0,CONCATENATE("(",E1212," +2)",CHAR(10)),CHAR(10))</f>
        <v>#N/A</v>
      </c>
      <c r="AD1212" s="1">
        <f>IF(ISERROR(AC1212)=TRUE,"",AC1212)</f>
      </c>
    </row>
    <row r="1213" spans="1:30" ht="10.5">
      <c r="A1213" s="1" t="str">
        <f>A221</f>
        <v>Mechanic Skill Group</v>
      </c>
      <c r="B1213" s="1" t="str">
        <f>CONCATENATE(CHAR(10),"  + Aeronautics Mechanic (Logic)",CHAR(10),"  + Automotive Mechanic (Logic)",CHAR(10),"  + Industrial Mechanic (Logic)",CHAR(10),"  + Nautical Mechanic (Logic)")</f>
        <v>
  + Aeronautics Mechanic (Logic)
  + Automotive Mechanic (Logic)
  + Industrial Mechanic (Logic)
  + Nautical Mechanic (Logic)</v>
      </c>
      <c r="C1213" s="1" t="e">
        <f>VLOOKUP(A1213,SkillGatherList,1,FALSE)</f>
        <v>#N/A</v>
      </c>
      <c r="D1213" s="1" t="e">
        <f>VLOOKUP(A1213,SkillGatherList,2,FALSE)</f>
        <v>#N/A</v>
      </c>
      <c r="E1213" s="1" t="e">
        <f>VLOOKUP(A1213,SkillGatherList,5,FALSE)</f>
        <v>#N/A</v>
      </c>
      <c r="AA1213" s="1">
        <f>IF(ISERROR(C1213)=TRUE,"",CONCATENATE(C1213,IF(B1213="","",B1213),CHAR(10)))</f>
      </c>
      <c r="AB1213" s="1">
        <f>IF(ISERROR(D1213)=TRUE,"",CONCATENATE(D1213,CHAR(10),CHAR(10),CHAR(10),CHAR(10),CHAR(10)))</f>
      </c>
      <c r="AC1213" s="1" t="e">
        <f>IF(LEN(E1213)&gt;0,CONCATENATE("(",E1213," +2)",CHAR(10)),CHAR(10))</f>
        <v>#N/A</v>
      </c>
      <c r="AD1213" s="1">
        <f>IF(ISERROR(AC1213)=TRUE,"",AC1213)</f>
      </c>
    </row>
    <row r="1214" spans="1:30" ht="10.5">
      <c r="A1214" s="1" t="s">
        <v>104</v>
      </c>
      <c r="B1214" s="1" t="s">
        <v>31</v>
      </c>
      <c r="C1214" s="1" t="e">
        <f>VLOOKUP(A1214,SkillGatherList,1,FALSE)</f>
        <v>#N/A</v>
      </c>
      <c r="D1214" s="1" t="e">
        <f>VLOOKUP(A1214,SkillGatherList,2,FALSE)</f>
        <v>#N/A</v>
      </c>
      <c r="E1214" s="1" t="e">
        <f>VLOOKUP(A1214,SkillGatherList,5,FALSE)</f>
        <v>#N/A</v>
      </c>
      <c r="AA1214" s="1">
        <f>IF(ISERROR(C1214)=TRUE,"",CONCATENATE(C1214,IF(B1214="","",CONCATENATE(" (",B1214,")")),CHAR(10)))</f>
      </c>
      <c r="AB1214" s="1">
        <f>IF(ISERROR(D1214)=TRUE,"",CONCATENATE(D1214,CHAR(10)))</f>
      </c>
      <c r="AC1214" s="1" t="e">
        <f>IF(LEN(E1214)&gt;0,CONCATENATE("(",E1214," +2)",CHAR(10)),CHAR(10))</f>
        <v>#N/A</v>
      </c>
      <c r="AD1214" s="1">
        <f>IF(ISERROR(AC1214)=TRUE,"",AC1214)</f>
      </c>
    </row>
    <row r="1215" spans="1:30" ht="10.5">
      <c r="A1215" s="1" t="s">
        <v>106</v>
      </c>
      <c r="B1215" s="1" t="s">
        <v>31</v>
      </c>
      <c r="C1215" s="1" t="e">
        <f>VLOOKUP(A1215,SkillGatherList,1,FALSE)</f>
        <v>#N/A</v>
      </c>
      <c r="D1215" s="1" t="e">
        <f>VLOOKUP(A1215,SkillGatherList,2,FALSE)</f>
        <v>#N/A</v>
      </c>
      <c r="E1215" s="1" t="e">
        <f>VLOOKUP(A1215,SkillGatherList,5,FALSE)</f>
        <v>#N/A</v>
      </c>
      <c r="AA1215" s="1">
        <f>IF(ISERROR(C1215)=TRUE,"",CONCATENATE(C1215,IF(B1215="","",CONCATENATE(" (",B1215,")")),CHAR(10)))</f>
      </c>
      <c r="AB1215" s="1">
        <f>IF(ISERROR(D1215)=TRUE,"",CONCATENATE(D1215,CHAR(10)))</f>
      </c>
      <c r="AC1215" s="1" t="e">
        <f>IF(LEN(E1215)&gt;0,CONCATENATE("(",E1215," +2)",CHAR(10)),CHAR(10))</f>
        <v>#N/A</v>
      </c>
      <c r="AD1215" s="1">
        <f>IF(ISERROR(AC1215)=TRUE,"",AC1215)</f>
      </c>
    </row>
    <row r="1216" spans="1:30" ht="10.5">
      <c r="A1216" s="1" t="s">
        <v>54</v>
      </c>
      <c r="B1216" s="1" t="s">
        <v>30</v>
      </c>
      <c r="C1216" s="1" t="e">
        <f>VLOOKUP(A1216,SkillGatherList,1,FALSE)</f>
        <v>#N/A</v>
      </c>
      <c r="D1216" s="1" t="e">
        <f>VLOOKUP(A1216,SkillGatherList,2,FALSE)</f>
        <v>#N/A</v>
      </c>
      <c r="E1216" s="1" t="e">
        <f>VLOOKUP(A1216,SkillGatherList,5,FALSE)</f>
        <v>#N/A</v>
      </c>
      <c r="AA1216" s="1">
        <f>IF(ISERROR(C1216)=TRUE,"",CONCATENATE(C1216,IF(B1216="","",CONCATENATE(" (",B1216,")")),CHAR(10)))</f>
      </c>
      <c r="AB1216" s="1">
        <f>IF(ISERROR(D1216)=TRUE,"",CONCATENATE(D1216,CHAR(10)))</f>
      </c>
      <c r="AC1216" s="1" t="e">
        <f>IF(LEN(E1216)&gt;0,CONCATENATE("(",E1216," +2)",CHAR(10)),CHAR(10))</f>
        <v>#N/A</v>
      </c>
      <c r="AD1216" s="1">
        <f>IF(ISERROR(AC1216)=TRUE,"",AC1216)</f>
      </c>
    </row>
    <row r="1217" spans="1:30" ht="10.5">
      <c r="A1217" s="1" t="s">
        <v>105</v>
      </c>
      <c r="B1217" s="1" t="s">
        <v>29</v>
      </c>
      <c r="C1217" s="1" t="e">
        <f>VLOOKUP(A1217,SkillGatherList,1,FALSE)</f>
        <v>#N/A</v>
      </c>
      <c r="D1217" s="1" t="e">
        <f>VLOOKUP(A1217,SkillGatherList,2,FALSE)</f>
        <v>#N/A</v>
      </c>
      <c r="E1217" s="1" t="e">
        <f>VLOOKUP(A1217,SkillGatherList,5,FALSE)</f>
        <v>#N/A</v>
      </c>
      <c r="AA1217" s="1">
        <f>IF(ISERROR(C1217)=TRUE,"",CONCATENATE(C1217,IF(B1217="","",CONCATENATE(" (",B1217,")")),CHAR(10)))</f>
      </c>
      <c r="AB1217" s="1">
        <f>IF(ISERROR(D1217)=TRUE,"",CONCATENATE(D1217,CHAR(10)))</f>
      </c>
      <c r="AC1217" s="1" t="e">
        <f>IF(LEN(E1217)&gt;0,CONCATENATE("(",E1217," +2)",CHAR(10)),CHAR(10))</f>
        <v>#N/A</v>
      </c>
      <c r="AD1217" s="1">
        <f>IF(ISERROR(AC1217)=TRUE,"",AC1217)</f>
      </c>
    </row>
    <row r="1218" spans="1:30" ht="10.5">
      <c r="A1218" s="1" t="str">
        <f>A222</f>
        <v>Outdoors Skill Group</v>
      </c>
      <c r="B1218" s="1" t="str">
        <f>CONCATENATE(CHAR(10),"  + Navigation (Intuition)",CHAR(10),"  + Survival (Willpower)",CHAR(10),"  + Tracking (Intuition)")</f>
        <v>
  + Navigation (Intuition)
  + Survival (Willpower)
  + Tracking (Intuition)</v>
      </c>
      <c r="C1218" s="1" t="e">
        <f>VLOOKUP(A1218,SkillGatherList,1,FALSE)</f>
        <v>#N/A</v>
      </c>
      <c r="D1218" s="1" t="e">
        <f>VLOOKUP(A1218,SkillGatherList,2,FALSE)</f>
        <v>#N/A</v>
      </c>
      <c r="E1218" s="1" t="e">
        <f>VLOOKUP(A1218,SkillGatherList,5,FALSE)</f>
        <v>#N/A</v>
      </c>
      <c r="AA1218" s="1">
        <f>IF(ISERROR(C1218)=TRUE,"",CONCATENATE(C1218,IF(B1218="","",B1218),CHAR(10)))</f>
      </c>
      <c r="AB1218" s="1">
        <f>IF(ISERROR(D1218)=TRUE,"",CONCATENATE(D1218,CHAR(10),CHAR(10),CHAR(10),CHAR(10)))</f>
      </c>
      <c r="AC1218" s="1" t="e">
        <f>IF(LEN(E1218)&gt;0,CONCATENATE("(",E1218," +2)",CHAR(10)),CHAR(10))</f>
        <v>#N/A</v>
      </c>
      <c r="AD1218" s="1">
        <f>IF(ISERROR(AC1218)=TRUE,"",AC1218)</f>
      </c>
    </row>
    <row r="1219" spans="1:30" ht="10.5">
      <c r="A1219" s="1" t="s">
        <v>56</v>
      </c>
      <c r="B1219" s="1" t="s">
        <v>23</v>
      </c>
      <c r="C1219" s="1" t="e">
        <f>VLOOKUP(A1219,SkillGatherList,1,FALSE)</f>
        <v>#N/A</v>
      </c>
      <c r="D1219" s="1" t="e">
        <f>VLOOKUP(A1219,SkillGatherList,2,FALSE)</f>
        <v>#N/A</v>
      </c>
      <c r="E1219" s="1" t="e">
        <f>VLOOKUP(A1219,SkillGatherList,5,FALSE)</f>
        <v>#N/A</v>
      </c>
      <c r="AA1219" s="1">
        <f>IF(ISERROR(C1219)=TRUE,"",CONCATENATE(C1219,IF(B1219="","",CONCATENATE(" (",B1219,")")),CHAR(10)))</f>
      </c>
      <c r="AB1219" s="1">
        <f>IF(ISERROR(D1219)=TRUE,"",CONCATENATE(D1219,CHAR(10)))</f>
      </c>
      <c r="AC1219" s="1" t="e">
        <f>IF(LEN(E1219)&gt;0,CONCATENATE("(",E1219," +2)",CHAR(10)),CHAR(10))</f>
        <v>#N/A</v>
      </c>
      <c r="AD1219" s="1">
        <f>IF(ISERROR(AC1219)=TRUE,"",AC1219)</f>
      </c>
    </row>
    <row r="1220" spans="1:30" ht="10.5">
      <c r="A1220" s="1" t="s">
        <v>58</v>
      </c>
      <c r="B1220" s="1" t="s">
        <v>22</v>
      </c>
      <c r="C1220" s="1" t="e">
        <f>VLOOKUP(A1220,SkillGatherList,1,FALSE)</f>
        <v>#N/A</v>
      </c>
      <c r="D1220" s="1" t="e">
        <f>VLOOKUP(A1220,SkillGatherList,2,FALSE)</f>
        <v>#N/A</v>
      </c>
      <c r="E1220" s="1" t="e">
        <f>VLOOKUP(A1220,SkillGatherList,5,FALSE)</f>
        <v>#N/A</v>
      </c>
      <c r="AA1220" s="1">
        <f>IF(ISERROR(C1220)=TRUE,"",CONCATENATE(C1220,IF(B1220="","",CONCATENATE(" (",B1220,")")),CHAR(10)))</f>
      </c>
      <c r="AB1220" s="1">
        <f>IF(ISERROR(D1220)=TRUE,"",CONCATENATE(D1220,CHAR(10)))</f>
      </c>
      <c r="AC1220" s="1" t="e">
        <f>IF(LEN(E1220)&gt;0,CONCATENATE("(",E1220," +2)",CHAR(10)),CHAR(10))</f>
        <v>#N/A</v>
      </c>
      <c r="AD1220" s="1">
        <f>IF(ISERROR(AC1220)=TRUE,"",AC1220)</f>
      </c>
    </row>
    <row r="1221" spans="1:30" ht="10.5">
      <c r="A1221" s="1" t="s">
        <v>60</v>
      </c>
      <c r="B1221" s="1" t="s">
        <v>30</v>
      </c>
      <c r="C1221" s="1" t="str">
        <f>VLOOKUP(A1221,SkillGatherList,1,FALSE)</f>
        <v>Perception</v>
      </c>
      <c r="D1221" s="1">
        <f>VLOOKUP(A1221,SkillGatherList,2,FALSE)</f>
        <v>3</v>
      </c>
      <c r="E1221" s="1">
        <f>VLOOKUP(A1221,SkillGatherList,5,FALSE)</f>
      </c>
      <c r="AA1221" s="1" t="str">
        <f>IF(ISERROR(C1221)=TRUE,"",CONCATENATE(C1221,IF(B1221="","",CONCATENATE(" (",B1221,")")),CHAR(10)))</f>
        <v>Perception (Intuition)
</v>
      </c>
      <c r="AB1221" s="1" t="str">
        <f>IF(ISERROR(D1221)=TRUE,"",CONCATENATE(D1221,CHAR(10)))</f>
        <v>3
</v>
      </c>
      <c r="AC1221" s="1" t="str">
        <f>IF(LEN(E1221)&gt;0,CONCATENATE("(",E1221," +2)",CHAR(10)),CHAR(10))</f>
        <v>
</v>
      </c>
      <c r="AD1221" s="1" t="str">
        <f>IF(ISERROR(AC1221)=TRUE,"",AC1221)</f>
        <v>
</v>
      </c>
    </row>
    <row r="1222" spans="1:30" ht="10.5">
      <c r="A1222" s="1" t="s">
        <v>110</v>
      </c>
      <c r="B1222" s="1" t="s">
        <v>25</v>
      </c>
      <c r="C1222" s="1" t="e">
        <f>VLOOKUP(A1222,SkillGatherList,1,FALSE)</f>
        <v>#N/A</v>
      </c>
      <c r="D1222" s="1" t="e">
        <f>VLOOKUP(A1222,SkillGatherList,2,FALSE)</f>
        <v>#N/A</v>
      </c>
      <c r="E1222" s="1" t="e">
        <f>VLOOKUP(A1222,SkillGatherList,5,FALSE)</f>
        <v>#N/A</v>
      </c>
      <c r="AA1222" s="1">
        <f>IF(ISERROR(C1222)=TRUE,"",CONCATENATE(C1222,IF(B1222="","",CONCATENATE(" (",B1222,")")),CHAR(10)))</f>
      </c>
      <c r="AB1222" s="1">
        <f>IF(ISERROR(D1222)=TRUE,"",CONCATENATE(D1222,CHAR(10)))</f>
      </c>
      <c r="AC1222" s="1" t="e">
        <f>IF(LEN(E1222)&gt;0,CONCATENATE("(",E1222," +2)",CHAR(10)),CHAR(10))</f>
        <v>#N/A</v>
      </c>
      <c r="AD1222" s="1">
        <f>IF(ISERROR(AC1222)=TRUE,"",AC1222)</f>
      </c>
    </row>
    <row r="1223" spans="1:30" ht="10.5">
      <c r="A1223" s="1" t="s">
        <v>111</v>
      </c>
      <c r="B1223" s="1" t="s">
        <v>25</v>
      </c>
      <c r="C1223" s="1" t="e">
        <f>VLOOKUP(A1223,SkillGatherList,1,FALSE)</f>
        <v>#N/A</v>
      </c>
      <c r="D1223" s="1" t="e">
        <f>VLOOKUP(A1223,SkillGatherList,2,FALSE)</f>
        <v>#N/A</v>
      </c>
      <c r="E1223" s="1" t="e">
        <f>VLOOKUP(A1223,SkillGatherList,5,FALSE)</f>
        <v>#N/A</v>
      </c>
      <c r="AA1223" s="1">
        <f>IF(ISERROR(C1223)=TRUE,"",CONCATENATE(C1223,IF(B1223="","",CONCATENATE(" (",B1223,")")),CHAR(10)))</f>
      </c>
      <c r="AB1223" s="1">
        <f>IF(ISERROR(D1223)=TRUE,"",CONCATENATE(D1223,CHAR(10)))</f>
      </c>
      <c r="AC1223" s="1" t="e">
        <f>IF(LEN(E1223)&gt;0,CONCATENATE("(",E1223," +2)",CHAR(10)),CHAR(10))</f>
        <v>#N/A</v>
      </c>
      <c r="AD1223" s="1">
        <f>IF(ISERROR(AC1223)=TRUE,"",AC1223)</f>
      </c>
    </row>
    <row r="1224" spans="1:30" ht="11.25">
      <c r="A1224" s="1" t="s">
        <v>113</v>
      </c>
      <c r="B1224" s="1" t="s">
        <v>25</v>
      </c>
      <c r="C1224" s="1" t="e">
        <f>VLOOKUP(A1224,SkillGatherList,1,FALSE)</f>
        <v>#N/A</v>
      </c>
      <c r="D1224" s="1" t="e">
        <f>VLOOKUP(A1224,SkillGatherList,2,FALSE)</f>
        <v>#N/A</v>
      </c>
      <c r="E1224" s="1" t="e">
        <f>VLOOKUP(A1224,SkillGatherList,5,FALSE)</f>
        <v>#N/A</v>
      </c>
      <c r="AA1224" s="1">
        <f>IF(ISERROR(C1224)=TRUE,"",CONCATENATE(C1224,IF(B1224="","",CONCATENATE(" (",B1224,")")),CHAR(10)))</f>
      </c>
      <c r="AB1224" s="1">
        <f>IF(ISERROR(D1224)=TRUE,"",CONCATENATE(D1224,CHAR(10)))</f>
      </c>
      <c r="AC1224" s="1" t="e">
        <f>IF(LEN(E1224)&gt;0,CONCATENATE("(",E1224," +2)",CHAR(10)),CHAR(10))</f>
        <v>#N/A</v>
      </c>
      <c r="AD1224" s="1">
        <f>IF(ISERROR(AC1224)=TRUE,"",AC1224)</f>
      </c>
    </row>
    <row r="1225" spans="1:30" ht="10.5">
      <c r="A1225" s="1" t="s">
        <v>115</v>
      </c>
      <c r="B1225" s="1" t="s">
        <v>25</v>
      </c>
      <c r="C1225" s="1" t="e">
        <f>VLOOKUP(A1225,SkillGatherList,1,FALSE)</f>
        <v>#N/A</v>
      </c>
      <c r="D1225" s="1" t="e">
        <f>VLOOKUP(A1225,SkillGatherList,2,FALSE)</f>
        <v>#N/A</v>
      </c>
      <c r="E1225" s="1" t="e">
        <f>VLOOKUP(A1225,SkillGatherList,5,FALSE)</f>
        <v>#N/A</v>
      </c>
      <c r="AA1225" s="1">
        <f>IF(ISERROR(C1225)=TRUE,"",CONCATENATE(C1225,IF(B1225="","",CONCATENATE(" (",B1225,")")),CHAR(10)))</f>
      </c>
      <c r="AB1225" s="1">
        <f>IF(ISERROR(D1225)=TRUE,"",CONCATENATE(D1225,CHAR(10)))</f>
      </c>
      <c r="AC1225" s="1" t="e">
        <f>IF(LEN(E1225)&gt;0,CONCATENATE("(",E1225," +2)",CHAR(10)),CHAR(10))</f>
        <v>#N/A</v>
      </c>
      <c r="AD1225" s="1">
        <f>IF(ISERROR(AC1225)=TRUE,"",AC1225)</f>
      </c>
    </row>
    <row r="1226" spans="1:30" ht="10.5">
      <c r="A1226" s="1" t="s">
        <v>117</v>
      </c>
      <c r="B1226" s="1" t="s">
        <v>25</v>
      </c>
      <c r="C1226" s="1" t="e">
        <f>VLOOKUP(A1226,SkillGatherList,1,FALSE)</f>
        <v>#N/A</v>
      </c>
      <c r="D1226" s="1" t="e">
        <f>VLOOKUP(A1226,SkillGatherList,2,FALSE)</f>
        <v>#N/A</v>
      </c>
      <c r="E1226" s="1" t="e">
        <f>VLOOKUP(A1226,SkillGatherList,5,FALSE)</f>
        <v>#N/A</v>
      </c>
      <c r="AA1226" s="1">
        <f>IF(ISERROR(C1226)=TRUE,"",CONCATENATE(C1226,IF(B1226="","",CONCATENATE(" (",B1226,")")),CHAR(10)))</f>
      </c>
      <c r="AB1226" s="1">
        <f>IF(ISERROR(D1226)=TRUE,"",CONCATENATE(D1226,CHAR(10)))</f>
      </c>
      <c r="AC1226" s="1" t="e">
        <f>IF(LEN(E1226)&gt;0,CONCATENATE("(",E1226," +2)",CHAR(10)),CHAR(10))</f>
        <v>#N/A</v>
      </c>
      <c r="AD1226" s="1">
        <f>IF(ISERROR(AC1226)=TRUE,"",AC1226)</f>
      </c>
    </row>
    <row r="1227" spans="1:30" ht="10.5">
      <c r="A1227" s="1" t="s">
        <v>118</v>
      </c>
      <c r="B1227" s="1" t="s">
        <v>25</v>
      </c>
      <c r="C1227" s="1" t="e">
        <f>VLOOKUP(A1227,SkillGatherList,1,FALSE)</f>
        <v>#N/A</v>
      </c>
      <c r="D1227" s="1" t="e">
        <f>VLOOKUP(A1227,SkillGatherList,2,FALSE)</f>
        <v>#N/A</v>
      </c>
      <c r="E1227" s="1" t="e">
        <f>VLOOKUP(A1227,SkillGatherList,5,FALSE)</f>
        <v>#N/A</v>
      </c>
      <c r="AA1227" s="1">
        <f>IF(ISERROR(C1227)=TRUE,"",CONCATENATE(C1227,IF(B1227="","",CONCATENATE(" (",B1227,")")),CHAR(10)))</f>
      </c>
      <c r="AB1227" s="1">
        <f>IF(ISERROR(D1227)=TRUE,"",CONCATENATE(D1227,CHAR(10)))</f>
      </c>
      <c r="AC1227" s="1" t="e">
        <f>IF(LEN(E1227)&gt;0,CONCATENATE("(",E1227," +2)",CHAR(10)),CHAR(10))</f>
        <v>#N/A</v>
      </c>
      <c r="AD1227" s="1">
        <f>IF(ISERROR(AC1227)=TRUE,"",AC1227)</f>
      </c>
    </row>
    <row r="1228" spans="1:30" ht="10.5">
      <c r="A1228" s="1" t="s">
        <v>59</v>
      </c>
      <c r="B1228" s="1" t="s">
        <v>23</v>
      </c>
      <c r="C1228" s="1" t="e">
        <f>VLOOKUP(A1228,SkillGatherList,1,FALSE)</f>
        <v>#N/A</v>
      </c>
      <c r="D1228" s="1" t="e">
        <f>VLOOKUP(A1228,SkillGatherList,2,FALSE)</f>
        <v>#N/A</v>
      </c>
      <c r="E1228" s="1" t="e">
        <f>VLOOKUP(A1228,SkillGatherList,5,FALSE)</f>
        <v>#N/A</v>
      </c>
      <c r="AA1228" s="1">
        <f>IF(ISERROR(C1228)=TRUE,"",CONCATENATE(C1228,IF(B1228="","",CONCATENATE(" (",B1228,")")),CHAR(10)))</f>
      </c>
      <c r="AB1228" s="1">
        <f>IF(ISERROR(D1228)=TRUE,"",CONCATENATE(D1228,CHAR(10)))</f>
      </c>
      <c r="AC1228" s="1" t="e">
        <f>IF(LEN(E1228)&gt;0,CONCATENATE("(",E1228," +2)",CHAR(10)),CHAR(10))</f>
        <v>#N/A</v>
      </c>
      <c r="AD1228" s="1">
        <f>IF(ISERROR(AC1228)=TRUE,"",AC1228)</f>
      </c>
    </row>
    <row r="1229" spans="1:30" ht="10.5">
      <c r="A1229" s="1" t="s">
        <v>90</v>
      </c>
      <c r="B1229" s="1" t="s">
        <v>35</v>
      </c>
      <c r="C1229" s="1" t="e">
        <f>VLOOKUP(A1229,SkillGatherList,1,FALSE)</f>
        <v>#N/A</v>
      </c>
      <c r="D1229" s="1" t="e">
        <f>VLOOKUP(A1229,SkillGatherList,2,FALSE)</f>
        <v>#N/A</v>
      </c>
      <c r="E1229" s="1" t="e">
        <f>VLOOKUP(A1229,SkillGatherList,5,FALSE)</f>
        <v>#N/A</v>
      </c>
      <c r="AA1229" s="1">
        <f>IF(ISERROR(C1229)=TRUE,"",CONCATENATE(C1229,IF(B1229="","",CONCATENATE(" (",B1229,")")),CHAR(10)))</f>
      </c>
      <c r="AB1229" s="1">
        <f>IF(ISERROR(D1229)=TRUE,"",CONCATENATE(D1229,CHAR(10)))</f>
      </c>
      <c r="AC1229" s="1" t="e">
        <f>IF(LEN(E1229)&gt;0,CONCATENATE("(",E1229," +2)",CHAR(10)),CHAR(10))</f>
        <v>#N/A</v>
      </c>
      <c r="AD1229" s="1">
        <f>IF(ISERROR(AC1229)=TRUE,"",AC1229)</f>
      </c>
    </row>
    <row r="1230" spans="1:30" ht="11.25">
      <c r="A1230" s="1" t="s">
        <v>77</v>
      </c>
      <c r="B1230" s="1" t="s">
        <v>34</v>
      </c>
      <c r="C1230" s="1" t="e">
        <f>VLOOKUP(A1230,SkillGatherList,1,FALSE)</f>
        <v>#N/A</v>
      </c>
      <c r="D1230" s="1" t="e">
        <f>VLOOKUP(A1230,SkillGatherList,2,FALSE)</f>
        <v>#N/A</v>
      </c>
      <c r="E1230" s="1" t="e">
        <f>VLOOKUP(A1230,SkillGatherList,5,FALSE)</f>
        <v>#N/A</v>
      </c>
      <c r="AA1230" s="1">
        <f>IF(ISERROR(C1230)=TRUE,"",CONCATENATE(C1230,IF(B1230="","",CONCATENATE(" (",B1230,")")),CHAR(10)))</f>
      </c>
      <c r="AB1230" s="1">
        <f>IF(ISERROR(D1230)=TRUE,"",CONCATENATE(D1230,CHAR(10)))</f>
      </c>
      <c r="AC1230" s="1" t="e">
        <f>IF(LEN(E1230)&gt;0,CONCATENATE("(",E1230," +2)",CHAR(10)),CHAR(10))</f>
        <v>#N/A</v>
      </c>
      <c r="AD1230" s="1">
        <f>IF(ISERROR(AC1230)=TRUE,"",AC1230)</f>
      </c>
    </row>
    <row r="1231" spans="1:30" ht="10.5">
      <c r="A1231" s="1" t="s">
        <v>62</v>
      </c>
      <c r="B1231" s="1" t="s">
        <v>27</v>
      </c>
      <c r="C1231" s="1" t="e">
        <f>VLOOKUP(A1231,SkillGatherList,1,FALSE)</f>
        <v>#N/A</v>
      </c>
      <c r="D1231" s="1" t="e">
        <f>VLOOKUP(A1231,SkillGatherList,2,FALSE)</f>
        <v>#N/A</v>
      </c>
      <c r="E1231" s="1" t="e">
        <f>VLOOKUP(A1231,SkillGatherList,5,FALSE)</f>
        <v>#N/A</v>
      </c>
      <c r="AA1231" s="1">
        <f>IF(ISERROR(C1231)=TRUE,"",CONCATENATE(C1231,IF(B1231="","",CONCATENATE(" (",B1231,")")),CHAR(10)))</f>
      </c>
      <c r="AB1231" s="1">
        <f>IF(ISERROR(D1231)=TRUE,"",CONCATENATE(D1231,CHAR(10)))</f>
      </c>
      <c r="AC1231" s="1" t="e">
        <f>IF(LEN(E1231)&gt;0,CONCATENATE("(",E1231," +2)",CHAR(10)),CHAR(10))</f>
        <v>#N/A</v>
      </c>
      <c r="AD1231" s="1">
        <f>IF(ISERROR(AC1231)=TRUE,"",AC1231)</f>
      </c>
    </row>
    <row r="1232" spans="1:30" ht="10.5">
      <c r="A1232" s="1" t="s">
        <v>64</v>
      </c>
      <c r="B1232" s="1" t="s">
        <v>30</v>
      </c>
      <c r="C1232" s="1" t="e">
        <f>VLOOKUP(A1232,SkillGatherList,1,FALSE)</f>
        <v>#N/A</v>
      </c>
      <c r="D1232" s="1" t="e">
        <f>VLOOKUP(A1232,SkillGatherList,2,FALSE)</f>
        <v>#N/A</v>
      </c>
      <c r="E1232" s="1" t="e">
        <f>VLOOKUP(A1232,SkillGatherList,5,FALSE)</f>
        <v>#N/A</v>
      </c>
      <c r="AA1232" s="1">
        <f>IF(ISERROR(C1232)=TRUE,"",CONCATENATE(C1232,IF(B1232="","",CONCATENATE(" (",B1232,")")),CHAR(10)))</f>
      </c>
      <c r="AB1232" s="1">
        <f>IF(ISERROR(D1232)=TRUE,"",CONCATENATE(D1232,CHAR(10)))</f>
      </c>
      <c r="AC1232" s="1" t="e">
        <f>IF(LEN(E1232)&gt;0,CONCATENATE("(",E1232," +2)",CHAR(10)),CHAR(10))</f>
        <v>#N/A</v>
      </c>
      <c r="AD1232" s="1">
        <f>IF(ISERROR(AC1232)=TRUE,"",AC1232)</f>
      </c>
    </row>
    <row r="1233" spans="1:30" ht="10.5">
      <c r="A1233" s="1" t="s">
        <v>107</v>
      </c>
      <c r="B1233" s="1" t="s">
        <v>31</v>
      </c>
      <c r="C1233" s="1" t="e">
        <f>VLOOKUP(A1233,SkillGatherList,1,FALSE)</f>
        <v>#N/A</v>
      </c>
      <c r="D1233" s="1" t="e">
        <f>VLOOKUP(A1233,SkillGatherList,2,FALSE)</f>
        <v>#N/A</v>
      </c>
      <c r="E1233" s="1" t="e">
        <f>VLOOKUP(A1233,SkillGatherList,5,FALSE)</f>
        <v>#N/A</v>
      </c>
      <c r="AA1233" s="1">
        <f>IF(ISERROR(C1233)=TRUE,"",CONCATENATE(C1233,IF(B1233="","",CONCATENATE(" (",B1233,")")),CHAR(10)))</f>
      </c>
      <c r="AB1233" s="1">
        <f>IF(ISERROR(D1233)=TRUE,"",CONCATENATE(D1233,CHAR(10)))</f>
      </c>
      <c r="AC1233" s="1" t="e">
        <f>IF(LEN(E1233)&gt;0,CONCATENATE("(",E1233," +2)",CHAR(10)),CHAR(10))</f>
        <v>#N/A</v>
      </c>
      <c r="AD1233" s="1">
        <f>IF(ISERROR(AC1233)=TRUE,"",AC1233)</f>
      </c>
    </row>
    <row r="1234" spans="1:30" ht="10.5">
      <c r="A1234" s="1" t="str">
        <f>A223</f>
        <v>Sorcery Skill Group</v>
      </c>
      <c r="B1234" s="1" t="str">
        <f>CONCATENATE(CHAR(10),"  + Counterspelling (Magic)",CHAR(10),"  + Ritual Spellcasting (Magic)",CHAR(10),"  + Spellcasting  (Magic)")</f>
        <v>
  + Counterspelling (Magic)
  + Ritual Spellcasting (Magic)
  + Spellcasting  (Magic)</v>
      </c>
      <c r="C1234" s="1" t="e">
        <f>VLOOKUP(A1234,SkillGatherList,1,FALSE)</f>
        <v>#N/A</v>
      </c>
      <c r="D1234" s="1" t="e">
        <f>VLOOKUP(A1234,SkillGatherList,2,FALSE)</f>
        <v>#N/A</v>
      </c>
      <c r="E1234" s="1" t="e">
        <f>VLOOKUP(A1234,SkillGatherList,5,FALSE)</f>
        <v>#N/A</v>
      </c>
      <c r="AA1234" s="1">
        <f>IF(ISERROR(C1234)=TRUE,"",CONCATENATE(C1234,IF(B1234="","",B1234),CHAR(10)))</f>
      </c>
      <c r="AB1234" s="1">
        <f>IF(ISERROR(D1234)=TRUE,"",CONCATENATE(D1234,CHAR(10),CHAR(10),CHAR(10),CHAR(10)))</f>
      </c>
      <c r="AC1234" s="1" t="e">
        <f>IF(LEN(E1234)&gt;0,CONCATENATE("(",E1234," +2)",CHAR(10)),CHAR(10))</f>
        <v>#N/A</v>
      </c>
      <c r="AD1234" s="1">
        <f>IF(ISERROR(AC1234)=TRUE,"",AC1234)</f>
      </c>
    </row>
    <row r="1235" spans="1:30" ht="11.25">
      <c r="A1235" s="1" t="s">
        <v>79</v>
      </c>
      <c r="B1235" s="1" t="s">
        <v>34</v>
      </c>
      <c r="C1235" s="1" t="e">
        <f>VLOOKUP(A1235,SkillGatherList,1,FALSE)</f>
        <v>#N/A</v>
      </c>
      <c r="D1235" s="1" t="e">
        <f>VLOOKUP(A1235,SkillGatherList,2,FALSE)</f>
        <v>#N/A</v>
      </c>
      <c r="E1235" s="1" t="e">
        <f>VLOOKUP(A1235,SkillGatherList,5,FALSE)</f>
        <v>#N/A</v>
      </c>
      <c r="AA1235" s="1">
        <f>IF(ISERROR(C1235)=TRUE,"",CONCATENATE(C1235,IF(B1235="","",CONCATENATE(" (",B1235,")")),CHAR(10)))</f>
      </c>
      <c r="AB1235" s="1">
        <f>IF(ISERROR(D1235)=TRUE,"",CONCATENATE(D1235,CHAR(10)))</f>
      </c>
      <c r="AC1235" s="1" t="e">
        <f>IF(LEN(E1235)&gt;0,CONCATENATE("(",E1235," +2)",CHAR(10)),CHAR(10))</f>
        <v>#N/A</v>
      </c>
      <c r="AD1235" s="1">
        <f>IF(ISERROR(AC1235)=TRUE,"",AC1235)</f>
      </c>
    </row>
    <row r="1236" spans="1:30" ht="10.5">
      <c r="A1236" s="1" t="str">
        <f>A224</f>
        <v>Stealth Skill Group</v>
      </c>
      <c r="B1236" s="1" t="str">
        <f>CONCATENATE(CHAR(10),"  + Disguise (Intuition)",CHAR(10),"  + Infiltration (Willpower)",CHAR(10),"  + Palming (Intuition)",CHAR(10),"  + Shadowing (Intuition)")</f>
        <v>
  + Disguise (Intuition)
  + Infiltration (Willpower)
  + Palming (Intuition)
  + Shadowing (Intuition)</v>
      </c>
      <c r="C1236" s="1" t="str">
        <f>VLOOKUP(A1236,SkillGatherList,1,FALSE)</f>
        <v>Stealth Skill Group</v>
      </c>
      <c r="D1236" s="1">
        <f>VLOOKUP(A1236,SkillGatherList,2,FALSE)</f>
        <v>4</v>
      </c>
      <c r="E1236" s="1">
        <f>VLOOKUP(A1236,SkillGatherList,5,FALSE)</f>
      </c>
      <c r="AA1236" s="1" t="str">
        <f>IF(ISERROR(C1236)=TRUE,"",CONCATENATE(C1236,IF(B1236="","",B1236),CHAR(10)))</f>
        <v>Stealth Skill Group
  + Disguise (Intuition)
  + Infiltration (Willpower)
  + Palming (Intuition)
  + Shadowing (Intuition)
</v>
      </c>
      <c r="AB1236" s="1" t="str">
        <f>IF(ISERROR(D1236)=TRUE,"",CONCATENATE(D1236,CHAR(10),CHAR(10),CHAR(10),CHAR(10),CHAR(10)))</f>
        <v>4
</v>
      </c>
      <c r="AC1236" s="1" t="str">
        <f>IF(LEN(E1236)&gt;0,CONCATENATE("(",E1236," +2)",CHAR(10)),CHAR(10))</f>
        <v>
</v>
      </c>
      <c r="AD1236" s="1" t="str">
        <f>IF(ISERROR(AC1236)=TRUE,"",AC1236)</f>
        <v>
</v>
      </c>
    </row>
    <row r="1237" spans="1:30" ht="10.5">
      <c r="A1237" s="1" t="s">
        <v>81</v>
      </c>
      <c r="B1237" s="1" t="s">
        <v>1333</v>
      </c>
      <c r="C1237" s="1" t="e">
        <f>VLOOKUP(A1237,SkillGatherList,1,FALSE)</f>
        <v>#N/A</v>
      </c>
      <c r="D1237" s="1" t="e">
        <f>VLOOKUP(A1237,SkillGatherList,2,FALSE)</f>
        <v>#N/A</v>
      </c>
      <c r="E1237" s="1" t="e">
        <f>VLOOKUP(A1237,SkillGatherList,5,FALSE)</f>
        <v>#N/A</v>
      </c>
      <c r="AA1237" s="1">
        <f>IF(ISERROR(C1237)=TRUE,"",CONCATENATE(C1237,IF(B1237="","",CONCATENATE(" (",B1237,")")),CHAR(10)))</f>
      </c>
      <c r="AB1237" s="1">
        <f>IF(ISERROR(D1237)=TRUE,"",CONCATENATE(D1237,CHAR(10)))</f>
      </c>
      <c r="AC1237" s="1" t="e">
        <f>IF(LEN(E1237)&gt;0,CONCATENATE("(",E1237," +2)",CHAR(10)),CHAR(10))</f>
        <v>#N/A</v>
      </c>
      <c r="AD1237" s="1">
        <f>IF(ISERROR(AC1237)=TRUE,"",AC1237)</f>
      </c>
    </row>
    <row r="1238" spans="1:30" ht="10.5">
      <c r="A1238" s="1" t="s">
        <v>65</v>
      </c>
      <c r="B1238" s="1" t="s">
        <v>32</v>
      </c>
      <c r="C1238" s="1" t="e">
        <f>VLOOKUP(A1238,SkillGatherList,1,FALSE)</f>
        <v>#N/A</v>
      </c>
      <c r="D1238" s="1" t="e">
        <f>VLOOKUP(A1238,SkillGatherList,2,FALSE)</f>
        <v>#N/A</v>
      </c>
      <c r="E1238" s="1" t="e">
        <f>VLOOKUP(A1238,SkillGatherList,5,FALSE)</f>
        <v>#N/A</v>
      </c>
      <c r="AA1238" s="1">
        <f>IF(ISERROR(C1238)=TRUE,"",CONCATENATE(C1238,IF(B1238="","",CONCATENATE(" (",B1238,")")),CHAR(10)))</f>
      </c>
      <c r="AB1238" s="1">
        <f>IF(ISERROR(D1238)=TRUE,"",CONCATENATE(D1238,CHAR(10)))</f>
      </c>
      <c r="AC1238" s="1" t="e">
        <f>IF(LEN(E1238)&gt;0,CONCATENATE("(",E1238," +2)",CHAR(10)),CHAR(10))</f>
        <v>#N/A</v>
      </c>
      <c r="AD1238" s="1">
        <f>IF(ISERROR(AC1238)=TRUE,"",AC1238)</f>
      </c>
    </row>
    <row r="1239" spans="1:30" ht="10.5">
      <c r="A1239" s="1" t="s">
        <v>67</v>
      </c>
      <c r="B1239" s="1" t="s">
        <v>27</v>
      </c>
      <c r="C1239" s="1" t="e">
        <f>VLOOKUP(A1239,SkillGatherList,1,FALSE)</f>
        <v>#N/A</v>
      </c>
      <c r="D1239" s="1" t="e">
        <f>VLOOKUP(A1239,SkillGatherList,2,FALSE)</f>
        <v>#N/A</v>
      </c>
      <c r="E1239" s="1" t="e">
        <f>VLOOKUP(A1239,SkillGatherList,5,FALSE)</f>
        <v>#N/A</v>
      </c>
      <c r="AA1239" s="1">
        <f>IF(ISERROR(C1239)=TRUE,"",CONCATENATE(C1239,IF(B1239="","",CONCATENATE(" (",B1239,")")),CHAR(10)))</f>
      </c>
      <c r="AB1239" s="1">
        <f>IF(ISERROR(D1239)=TRUE,"",CONCATENATE(D1239,CHAR(10)))</f>
      </c>
      <c r="AC1239" s="1" t="e">
        <f>IF(LEN(E1239)&gt;0,CONCATENATE("(",E1239," +2)",CHAR(10)),CHAR(10))</f>
        <v>#N/A</v>
      </c>
      <c r="AD1239" s="1">
        <f>IF(ISERROR(AC1239)=TRUE,"",AC1239)</f>
      </c>
    </row>
    <row r="1240" spans="1:30" ht="10.5">
      <c r="A1240" s="1" t="str">
        <f>A225</f>
        <v>Tasking Skill Group</v>
      </c>
      <c r="B1240" s="1" t="str">
        <f>CONCATENATE(CHAR(10),"  + Compiling (Logic)",CHAR(10),"  + Decompiling (Logic)",CHAR(10),"  + Registering (Logic)")</f>
        <v>
  + Compiling (Logic)
  + Decompiling (Logic)
  + Registering (Logic)</v>
      </c>
      <c r="C1240" s="1" t="e">
        <f>VLOOKUP(A1240,SkillGatherList,1,FALSE)</f>
        <v>#N/A</v>
      </c>
      <c r="D1240" s="1" t="e">
        <f>VLOOKUP(A1240,SkillGatherList,2,FALSE)</f>
        <v>#N/A</v>
      </c>
      <c r="E1240" s="1" t="e">
        <f>VLOOKUP(A1240,SkillGatherList,5,FALSE)</f>
        <v>#N/A</v>
      </c>
      <c r="AA1240" s="1">
        <f>IF(ISERROR(C1240)=TRUE,"",CONCATENATE(C1240,IF(B1240="","",B1240),CHAR(10)))</f>
      </c>
      <c r="AB1240" s="1">
        <f>IF(ISERROR(D1240)=TRUE,"",CONCATENATE(D1240,CHAR(10),CHAR(10),CHAR(10),CHAR(10)))</f>
      </c>
      <c r="AC1240" s="1" t="e">
        <f>IF(LEN(E1240)&gt;0,CONCATENATE("(",E1240," +2)",CHAR(10)),CHAR(10))</f>
        <v>#N/A</v>
      </c>
      <c r="AD1240" s="1">
        <f>IF(ISERROR(AC1240)=TRUE,"",AC1240)</f>
      </c>
    </row>
    <row r="1241" spans="1:30" ht="10.5">
      <c r="A1241" s="1" t="s">
        <v>61</v>
      </c>
      <c r="B1241" s="1" t="s">
        <v>23</v>
      </c>
      <c r="C1241" s="1" t="e">
        <f>VLOOKUP(A1241,SkillGatherList,1,FALSE)</f>
        <v>#N/A</v>
      </c>
      <c r="D1241" s="1" t="e">
        <f>VLOOKUP(A1241,SkillGatherList,2,FALSE)</f>
        <v>#N/A</v>
      </c>
      <c r="E1241" s="1" t="e">
        <f>VLOOKUP(A1241,SkillGatherList,5,FALSE)</f>
        <v>#N/A</v>
      </c>
      <c r="AA1241" s="1">
        <f>IF(ISERROR(C1241)=TRUE,"",CONCATENATE(C1241,IF(B1241="","",CONCATENATE(" (",B1241,")")),CHAR(10)))</f>
      </c>
      <c r="AB1241" s="1">
        <f>IF(ISERROR(D1241)=TRUE,"",CONCATENATE(D1241,CHAR(10)))</f>
      </c>
      <c r="AC1241" s="1" t="e">
        <f>IF(LEN(E1241)&gt;0,CONCATENATE("(",E1241," +2)",CHAR(10)),CHAR(10))</f>
        <v>#N/A</v>
      </c>
      <c r="AD1241" s="1">
        <f>IF(ISERROR(AC1241)=TRUE,"",AC1241)</f>
      </c>
    </row>
    <row r="1242" spans="1:30" ht="10.5">
      <c r="A1242" s="1" t="s">
        <v>69</v>
      </c>
      <c r="B1242" s="1" t="s">
        <v>30</v>
      </c>
      <c r="C1242" s="1" t="e">
        <f>VLOOKUP(A1242,SkillGatherList,1,FALSE)</f>
        <v>#N/A</v>
      </c>
      <c r="D1242" s="1" t="e">
        <f>VLOOKUP(A1242,SkillGatherList,2,FALSE)</f>
        <v>#N/A</v>
      </c>
      <c r="E1242" s="1" t="e">
        <f>VLOOKUP(A1242,SkillGatherList,5,FALSE)</f>
        <v>#N/A</v>
      </c>
      <c r="AA1242" s="1">
        <f>IF(ISERROR(C1242)=TRUE,"",CONCATENATE(C1242,IF(B1242="","",CONCATENATE(" (",B1242,")")),CHAR(10)))</f>
      </c>
      <c r="AB1242" s="1">
        <f>IF(ISERROR(D1242)=TRUE,"",CONCATENATE(D1242,CHAR(10)))</f>
      </c>
      <c r="AC1242" s="1" t="e">
        <f>IF(LEN(E1242)&gt;0,CONCATENATE("(",E1242," +2)",CHAR(10)),CHAR(10))</f>
        <v>#N/A</v>
      </c>
      <c r="AD1242" s="1">
        <f>IF(ISERROR(AC1242)=TRUE,"",AC1242)</f>
      </c>
    </row>
    <row r="1243" spans="1:30" ht="10.5">
      <c r="A1243" s="1" t="s">
        <v>63</v>
      </c>
      <c r="B1243" s="1" t="s">
        <v>23</v>
      </c>
      <c r="C1243" s="1" t="e">
        <f>VLOOKUP(A1243,SkillGatherList,1,FALSE)</f>
        <v>#N/A</v>
      </c>
      <c r="D1243" s="1" t="e">
        <f>VLOOKUP(A1243,SkillGatherList,2,FALSE)</f>
        <v>#N/A</v>
      </c>
      <c r="E1243" s="1" t="e">
        <f>VLOOKUP(A1243,SkillGatherList,5,FALSE)</f>
        <v>#N/A</v>
      </c>
      <c r="AA1243" s="1">
        <f>IF(ISERROR(C1243)=TRUE,"",CONCATENATE(C1243,IF(B1243="","",CONCATENATE(" (",B1243,")")),CHAR(10)))</f>
      </c>
      <c r="AB1243" s="1">
        <f>IF(ISERROR(D1243)=TRUE,"",CONCATENATE(D1243,CHAR(10)))</f>
      </c>
      <c r="AC1243" s="1" t="e">
        <f>IF(LEN(E1243)&gt;0,CONCATENATE("(",E1243," +2)",CHAR(10)),CHAR(10))</f>
        <v>#N/A</v>
      </c>
      <c r="AD1243" s="1">
        <f>IF(ISERROR(AC1243)=TRUE,"",AC1243)</f>
      </c>
    </row>
    <row r="1245" spans="1:4" ht="10.5">
      <c r="A1245" s="1" t="str">
        <f>CONCATENATE(AA1161,AA1162,AA1163,AA1164,AA1165,AA1166,AA1167,AA1168,AA1169,AA1170,AA1171,AA1172,AA1173,AA1174,AA1175,AA1176,AA1177,AA1178,AA1179,AA1180,AA1181,AA1182,AA1183,AA1184,AA1185,AA1186,AA1187,AA1188,AA1189,AA1190)</f>
        <v>Athletics Skill Group
  + Climbing (Strength)
  + Gymnastics (Agility)
  + Running (Strength)
  + Swimming (Strength)
</v>
      </c>
      <c r="B1245" s="1" t="str">
        <f>CONCATENATE(AB1161,AB1162,AB1163,AB1164,AB1165,AB1166,AB1167,AB1168,AB1169,AB1170,AB1171,AB1172,AB1173,AB1174,AB1175,AB1176,AB1177,AB1178,AB1179,AB1180,AB1181,AB1182,AB1183,AB1184,AB1185,AB1186,AB1187,AB1188,AB1189,AB1190)</f>
        <v>4
</v>
      </c>
      <c r="D1245" s="1" t="str">
        <f>CONCATENATE(AD1161,AD1162,AD1163,AD1164,AD1165,AD1166,AD1167,AD1168,AD1169,AD1170,AD1171,AD1172,AD1173,AD1174,AD1175,AD1176,AD1177,AD1178,AD1179,AD1180,AD1181,AD1182,AD1183,AD1184,AD1185,AD1186,AD1187,AD1188,AD1189,AD1190)</f>
        <v>
</v>
      </c>
    </row>
    <row r="1246" spans="1:4" ht="10.5">
      <c r="A1246" s="1">
        <f>CONCATENATE(AA1191,AA1192,AA1193,AA1194,AA1195,AA1196,AA1197,AA1198,AA1199,AA1200,AA1201,AA1202,AA1203,AA1204,AA1205,AA1206,AA1207,AA1208,AA1209,AA1210,AA1211,AA1212,AA1213,AA1214,AA1215,AA1216,AA1217,AA1218,AA1219,AA1220)</f>
      </c>
      <c r="B1246" s="1">
        <f>CONCATENATE(AB1191,AB1192,AB1193,AB1194,AB1195,AB1196,AB1197,AB1198,AB1199,AB1200,AB1201,AB1202,AB1203,AB1204,AB1205,AB1206,AB1207,AB1208,AB1209,AB1210,AB1211,AB1212,AB1213,AB1214,AB1215,AB1216,AB1217,AB1218,AB1219,AB1220)</f>
      </c>
      <c r="D1246" s="1">
        <f>CONCATENATE(AD1191,AD1192,AD1193,AD1194,AD1195,AD1196,AD1197,AD1198,AD1199,AD1200,AD1201,AD1202,AD1203,AD1204,AD1205,AD1206,AD1207,AD1208,AD1209,AD1210,AD1211,AD1212,AD1213,AD1214,AD1215,AD1216,AD1217,AD1218,AD1219,AD1220)</f>
      </c>
    </row>
    <row r="1247" spans="1:4" ht="10.5">
      <c r="A1247" s="1" t="str">
        <f>CONCATENATE(AA1221,AA1222,AA1223,AA1224,AA1225,AA1226,AA1227,AA1228,AA1229,AA1230,AA1231,AA1232,AA1233,AA1234,AA1235,AA1236,AA1237,AA1238,AA1239,AA1240,AA1241,AA1242,AA1243)</f>
        <v>Perception (Intuition)
Stealth Skill Group
  + Disguise (Intuition)
  + Infiltration (Willpower)
  + Palming (Intuition)
  + Shadowing (Intuition)
</v>
      </c>
      <c r="B1247" s="1" t="str">
        <f>CONCATENATE(AB1221,AB1222,AB1223,AB1224,AB1225,AB1226,AB1227,AB1228,AB1229,AB1230,AB1231,AB1232,AB1233,AB1234,AB1235,AB1236,AB1237,AB1238,AB1239,AB1240,AB1241,AB1242,AB1243)</f>
        <v>3
4
</v>
      </c>
      <c r="D1247" s="1" t="str">
        <f>CONCATENATE(AD1221,AD1222,AD1223,AD1224,AD1225,AD1226,AD1227,AD1228,AD1229,AD1230,AD1231,AD1232,AD1233,AD1234,AD1235,AD1236,AD1237,AD1238,AD1239,AD1240,AD1241,AD1242,AD1243)</f>
        <v>
</v>
      </c>
    </row>
    <row r="1249" spans="1:4" ht="10.5">
      <c r="A1249" s="1" t="str">
        <f>CONCATENATE(A1245,A1246,A1247)</f>
        <v>Athletics Skill Group
  + Climbing (Strength)
  + Gymnastics (Agility)
  + Running (Strength)
  + Swimming (Strength)
Perception (Intuition)
Stealth Skill Group
  + Disguise (Intuition)
  + Infiltration (Willpower)
  + Palming (Intuition)
  + Shadowing (Intuition)
</v>
      </c>
      <c r="B1249" s="1" t="str">
        <f>CONCATENATE(B1245,B1246,B1247)</f>
        <v>4
3
4
</v>
      </c>
      <c r="D1249" s="1" t="str">
        <f>CONCATENATE(D1245,D1246,D1247)</f>
        <v>
</v>
      </c>
    </row>
    <row r="1260" ht="10.5">
      <c r="A1260" s="4" t="s">
        <v>1334</v>
      </c>
    </row>
    <row r="1261" spans="1:28" ht="10.5">
      <c r="A1261" s="1">
        <f>IF(Sheet1!A81=0,"",Sheet1!A81)</f>
      </c>
      <c r="B1261" s="1">
        <f>IF(Sheet1!B81=0,"",Sheet1!B81)</f>
      </c>
      <c r="AA1261" s="1">
        <f>IF(LEN(A1261)&gt;0,CONCATENATE(A1261,CHAR(10)),"")</f>
      </c>
      <c r="AB1261" s="1">
        <f>IF(LEN(B1261)&gt;0,CONCATENATE(B1261,CHAR(10)),"")</f>
      </c>
    </row>
    <row r="1262" spans="1:28" ht="10.5">
      <c r="A1262" s="1">
        <f>IF(Sheet1!A82=0,"",Sheet1!A82)</f>
      </c>
      <c r="B1262" s="1">
        <f>IF(Sheet1!B82=0,"",Sheet1!B82)</f>
      </c>
      <c r="AA1262" s="1">
        <f>IF(LEN(A1262)&gt;0,CONCATENATE(A1262,CHAR(10)),"")</f>
      </c>
      <c r="AB1262" s="1">
        <f>IF(LEN(B1262)&gt;0,CONCATENATE(B1262,CHAR(10)),"")</f>
      </c>
    </row>
    <row r="1263" spans="1:28" ht="10.5">
      <c r="A1263" s="1">
        <f>IF(Sheet1!A83=0,"",Sheet1!A83)</f>
      </c>
      <c r="B1263" s="1">
        <f>IF(Sheet1!B83=0,"",Sheet1!B83)</f>
      </c>
      <c r="AA1263" s="1">
        <f>IF(LEN(A1263)&gt;0,CONCATENATE(A1263,CHAR(10)),"")</f>
      </c>
      <c r="AB1263" s="1">
        <f>IF(LEN(B1263)&gt;0,CONCATENATE(B1263,CHAR(10)),"")</f>
      </c>
    </row>
    <row r="1264" spans="1:28" ht="10.5">
      <c r="A1264" s="1">
        <f>IF(Sheet1!A84=0,"",Sheet1!A84)</f>
      </c>
      <c r="B1264" s="1">
        <f>IF(Sheet1!B84=0,"",Sheet1!B84)</f>
      </c>
      <c r="AA1264" s="1">
        <f>IF(LEN(A1264)&gt;0,CONCATENATE(A1264,CHAR(10)),"")</f>
      </c>
      <c r="AB1264" s="1">
        <f>IF(LEN(B1264)&gt;0,CONCATENATE(B1264,CHAR(10)),"")</f>
      </c>
    </row>
    <row r="1265" spans="1:28" ht="10.5">
      <c r="A1265" s="1">
        <f>IF(Sheet1!A85=0,"",Sheet1!A85)</f>
      </c>
      <c r="B1265" s="1">
        <f>IF(Sheet1!B85=0,"",Sheet1!B85)</f>
      </c>
      <c r="AA1265" s="1">
        <f>IF(LEN(A1265)&gt;0,CONCATENATE(A1265,CHAR(10)),"")</f>
      </c>
      <c r="AB1265" s="1">
        <f>IF(LEN(B1265)&gt;0,CONCATENATE(B1265,CHAR(10)),"")</f>
      </c>
    </row>
    <row r="1266" spans="1:28" ht="10.5">
      <c r="A1266" s="1">
        <f>IF(Sheet1!A87=0,"",Sheet1!A87)</f>
      </c>
      <c r="B1266" s="1">
        <f>IF(Sheet1!B87=0,"",Sheet1!B87)</f>
      </c>
      <c r="AA1266" s="1">
        <f>IF(LEN(A1266)&gt;0,CONCATENATE(A1266,CHAR(10)),"")</f>
      </c>
      <c r="AB1266" s="1">
        <f>IF(LEN(B1266)&gt;0,CONCATENATE(B1266,CHAR(10)),"")</f>
      </c>
    </row>
    <row r="1267" spans="1:28" ht="10.5">
      <c r="A1267" s="1">
        <f>IF(Sheet1!A88=0,"",Sheet1!A88)</f>
      </c>
      <c r="B1267" s="1">
        <f>IF(Sheet1!B88=0,"",Sheet1!B88)</f>
      </c>
      <c r="AA1267" s="1">
        <f>IF(LEN(A1267)&gt;0,CONCATENATE(A1267,CHAR(10)),"")</f>
      </c>
      <c r="AB1267" s="1">
        <f>IF(LEN(B1267)&gt;0,CONCATENATE(B1267,CHAR(10)),"")</f>
      </c>
    </row>
    <row r="1268" spans="1:28" ht="10.5">
      <c r="A1268" s="1">
        <f>IF(Sheet1!A89=0,"",Sheet1!A89)</f>
      </c>
      <c r="B1268" s="1">
        <f>IF(Sheet1!B89=0,"",Sheet1!B89)</f>
      </c>
      <c r="AA1268" s="1">
        <f>IF(LEN(A1268)&gt;0,CONCATENATE(A1268,CHAR(10)),"")</f>
      </c>
      <c r="AB1268" s="1">
        <f>IF(LEN(B1268)&gt;0,CONCATENATE(B1268,CHAR(10)),"")</f>
      </c>
    </row>
    <row r="1269" spans="1:28" ht="10.5">
      <c r="A1269" s="1">
        <f>IF(Sheet1!A90=0,"",Sheet1!A90)</f>
      </c>
      <c r="B1269" s="1">
        <f>IF(Sheet1!B90=0,"",Sheet1!B90)</f>
      </c>
      <c r="AA1269" s="1">
        <f>IF(LEN(A1269)&gt;0,CONCATENATE(A1269,CHAR(10)),"")</f>
      </c>
      <c r="AB1269" s="1">
        <f>IF(LEN(B1269)&gt;0,CONCATENATE(B1269,CHAR(10)),"")</f>
      </c>
    </row>
    <row r="1270" spans="1:28" ht="10.5">
      <c r="A1270" s="1">
        <f>IF(Sheet1!A91=0,"",Sheet1!A91)</f>
      </c>
      <c r="B1270" s="1">
        <f>IF(Sheet1!B91=0,"",Sheet1!B91)</f>
      </c>
      <c r="AA1270" s="1">
        <f>IF(LEN(A1270)&gt;0,CONCATENATE(A1270,CHAR(10)),"")</f>
      </c>
      <c r="AB1270" s="1">
        <f>IF(LEN(B1270)&gt;0,CONCATENATE(B1270,CHAR(10)),"")</f>
      </c>
    </row>
    <row r="1271" spans="1:28" ht="10.5">
      <c r="A1271" s="1">
        <f>IF(Sheet1!A93=0,"",Sheet1!A93)</f>
      </c>
      <c r="B1271" s="1">
        <f>IF(Sheet1!B93=0,"",Sheet1!B93)</f>
      </c>
      <c r="AA1271" s="1">
        <f>IF(LEN(A1271)&gt;0,CONCATENATE(A1271,CHAR(10)),"")</f>
      </c>
      <c r="AB1271" s="1">
        <f>IF(LEN(B1271)&gt;0,CONCATENATE(B1271,CHAR(10)),"")</f>
      </c>
    </row>
    <row r="1272" spans="1:28" ht="10.5">
      <c r="A1272" s="1">
        <f>IF(Sheet1!A94=0,"",Sheet1!A94)</f>
      </c>
      <c r="B1272" s="1">
        <f>IF(Sheet1!B94=0,"",Sheet1!B94)</f>
      </c>
      <c r="C1272" s="97"/>
      <c r="D1272" s="97"/>
      <c r="E1272" s="97"/>
      <c r="F1272" s="97"/>
      <c r="AA1272" s="1">
        <f>IF(LEN(A1272)&gt;0,CONCATENATE(A1272,CHAR(10)),"")</f>
      </c>
      <c r="AB1272" s="1">
        <f>IF(LEN(B1272)&gt;0,CONCATENATE(B1272,CHAR(10)),"")</f>
      </c>
    </row>
    <row r="1273" spans="1:28" ht="10.5">
      <c r="A1273" s="1">
        <f>IF(Sheet1!A95=0,"",Sheet1!A95)</f>
      </c>
      <c r="B1273" s="1">
        <f>IF(Sheet1!B95=0,"",Sheet1!B95)</f>
      </c>
      <c r="C1273" s="97"/>
      <c r="D1273" s="97"/>
      <c r="E1273" s="97"/>
      <c r="F1273" s="97"/>
      <c r="AA1273" s="1">
        <f>IF(LEN(A1273)&gt;0,CONCATENATE(A1273,CHAR(10)),"")</f>
      </c>
      <c r="AB1273" s="1">
        <f>IF(LEN(B1273)&gt;0,CONCATENATE(B1273,CHAR(10)),"")</f>
      </c>
    </row>
    <row r="1274" spans="1:30" ht="10.5">
      <c r="A1274" s="1">
        <f>IF(Sheet1!A96=0,"",Sheet1!A96)</f>
      </c>
      <c r="B1274" s="1">
        <f>IF(Sheet1!B96=0,"",Sheet1!B96)</f>
      </c>
      <c r="C1274" s="97"/>
      <c r="D1274" s="97"/>
      <c r="E1274" s="97"/>
      <c r="F1274" s="97"/>
      <c r="AA1274" s="1">
        <f>IF(LEN(A1274)&gt;0,CONCATENATE(A1274,CHAR(10)),"")</f>
      </c>
      <c r="AB1274" s="1">
        <f>IF(LEN(B1274)&gt;0,CONCATENATE(B1274,CHAR(10)),"")</f>
      </c>
      <c r="AD1274" s="98"/>
    </row>
    <row r="1275" spans="1:30" ht="10.5">
      <c r="A1275" s="1">
        <f>IF(Sheet1!A97=0,"",Sheet1!A97)</f>
      </c>
      <c r="B1275" s="1">
        <f>IF(Sheet1!B97=0,"",Sheet1!B97)</f>
      </c>
      <c r="C1275" s="97"/>
      <c r="D1275" s="97"/>
      <c r="E1275" s="97"/>
      <c r="F1275" s="97"/>
      <c r="AA1275" s="1">
        <f>IF(LEN(A1275)&gt;0,CONCATENATE(A1275,CHAR(10)),"")</f>
      </c>
      <c r="AB1275" s="1">
        <f>IF(LEN(B1275)&gt;0,CONCATENATE(B1275,CHAR(10)),"")</f>
      </c>
      <c r="AD1275" s="98"/>
    </row>
    <row r="1276" spans="1:30" ht="10.5">
      <c r="A1276" s="1">
        <f>IF(Sheet1!A99=0,"",Sheet1!A99)</f>
      </c>
      <c r="B1276" s="1">
        <f>IF(Sheet1!B99=0,"",Sheet1!B99)</f>
      </c>
      <c r="C1276" s="97"/>
      <c r="D1276" s="97"/>
      <c r="E1276" s="97"/>
      <c r="F1276" s="97"/>
      <c r="AA1276" s="1">
        <f>IF(LEN(A1276)&gt;0,CONCATENATE(A1276,CHAR(10)),"")</f>
      </c>
      <c r="AB1276" s="1">
        <f>IF(LEN(B1276)&gt;0,CONCATENATE(B1276,CHAR(10)),"")</f>
      </c>
      <c r="AD1276" s="98"/>
    </row>
    <row r="1277" spans="1:30" ht="10.5">
      <c r="A1277" s="1">
        <f>IF(Sheet1!A100=0,"",Sheet1!A100)</f>
      </c>
      <c r="B1277" s="1">
        <f>IF(Sheet1!B100=0,"",Sheet1!B100)</f>
      </c>
      <c r="C1277" s="97"/>
      <c r="D1277" s="97"/>
      <c r="E1277" s="97"/>
      <c r="F1277" s="97"/>
      <c r="AA1277" s="1">
        <f>IF(LEN(A1277)&gt;0,CONCATENATE(A1277,CHAR(10)),"")</f>
      </c>
      <c r="AB1277" s="1">
        <f>IF(LEN(B1277)&gt;0,CONCATENATE(B1277,CHAR(10)),"")</f>
      </c>
      <c r="AD1277" s="98"/>
    </row>
    <row r="1278" spans="1:30" ht="10.5">
      <c r="A1278" s="1">
        <f>IF(Sheet1!A101=0,"",Sheet1!A101)</f>
      </c>
      <c r="B1278" s="1">
        <f>IF(Sheet1!B101=0,"",Sheet1!B101)</f>
      </c>
      <c r="C1278" s="97"/>
      <c r="D1278" s="97"/>
      <c r="E1278" s="97"/>
      <c r="F1278" s="97"/>
      <c r="AA1278" s="1">
        <f>IF(LEN(A1278)&gt;0,CONCATENATE(A1278,CHAR(10)),"")</f>
      </c>
      <c r="AB1278" s="1">
        <f>IF(LEN(B1278)&gt;0,CONCATENATE(B1278,CHAR(10)),"")</f>
      </c>
      <c r="AD1278" s="98"/>
    </row>
    <row r="1279" spans="1:30" ht="10.5">
      <c r="A1279" s="1">
        <f>IF(Sheet1!A102=0,"",Sheet1!A102)</f>
      </c>
      <c r="B1279" s="1">
        <f>IF(Sheet1!B102=0,"",Sheet1!B102)</f>
      </c>
      <c r="C1279" s="97"/>
      <c r="D1279" s="97"/>
      <c r="E1279" s="97"/>
      <c r="F1279" s="97"/>
      <c r="AA1279" s="1">
        <f>IF(LEN(A1279)&gt;0,CONCATENATE(A1279,CHAR(10)),"")</f>
      </c>
      <c r="AB1279" s="1">
        <f>IF(LEN(B1279)&gt;0,CONCATENATE(B1279,CHAR(10)),"")</f>
      </c>
      <c r="AD1279" s="98"/>
    </row>
    <row r="1280" spans="1:30" ht="10.5">
      <c r="A1280" s="1">
        <f>IF(Sheet1!A103=0,"",Sheet1!A103)</f>
      </c>
      <c r="B1280" s="1">
        <f>IF(Sheet1!B103=0,"",Sheet1!B103)</f>
      </c>
      <c r="C1280" s="97"/>
      <c r="D1280" s="97"/>
      <c r="E1280" s="97"/>
      <c r="F1280" s="97"/>
      <c r="AA1280" s="1">
        <f>IF(LEN(A1280)&gt;0,CONCATENATE(A1280,CHAR(10)),"")</f>
      </c>
      <c r="AB1280" s="1">
        <f>IF(LEN(B1280)&gt;0,CONCATENATE(B1280,CHAR(10)),"")</f>
      </c>
      <c r="AD1280" s="98"/>
    </row>
    <row r="1281" spans="2:30" ht="10.5">
      <c r="B1281" s="99"/>
      <c r="C1281" s="97"/>
      <c r="D1281" s="97"/>
      <c r="E1281" s="97"/>
      <c r="F1281" s="97"/>
      <c r="AD1281" s="98"/>
    </row>
    <row r="1282" spans="1:30" ht="10.5">
      <c r="A1282" s="99">
        <f>CONCATENATE(AA1261,AA1262,AA1263,AA1264,AA1265,AA1266,AA1267,AA1268,AA1269,AA1270,AA1271,AA1272,AA1273,AA1274,AA1275,AA1276,AA1277,AA1278,AA1279,AA1280)</f>
      </c>
      <c r="B1282" s="99">
        <f>CONCATENATE(AB1261,AB1262,AB1263,AB1264,AB1265,AB1266,AB1267,AB1268,AB1269,AB1270,AB1271,AB1272,AB1273,AB1274,AB1275,AB1276,AB1277,AB1278,AB1279,AB1280)</f>
      </c>
      <c r="C1282" s="97"/>
      <c r="D1282" s="97"/>
      <c r="E1282" s="97"/>
      <c r="F1282" s="97"/>
      <c r="AD1282" s="98"/>
    </row>
    <row r="1283" spans="1:30" ht="10.5">
      <c r="A1283" s="99"/>
      <c r="B1283" s="99"/>
      <c r="C1283" s="97"/>
      <c r="D1283" s="97"/>
      <c r="E1283" s="97"/>
      <c r="F1283" s="97"/>
      <c r="AD1283" s="98"/>
    </row>
    <row r="1284" spans="1:30" ht="10.5">
      <c r="A1284" s="99"/>
      <c r="B1284" s="99"/>
      <c r="C1284" s="97"/>
      <c r="D1284" s="97"/>
      <c r="E1284" s="97"/>
      <c r="F1284" s="97"/>
      <c r="AD1284" s="98"/>
    </row>
    <row r="1285" spans="1:6" ht="10.5">
      <c r="A1285" s="100" t="s">
        <v>1335</v>
      </c>
      <c r="B1285" s="99"/>
      <c r="C1285" s="97"/>
      <c r="D1285" s="97"/>
      <c r="E1285" s="97"/>
      <c r="F1285" s="97"/>
    </row>
    <row r="1286" spans="1:28" ht="10.5">
      <c r="A1286" s="1" t="str">
        <f>IF(Sheet1!A105=0,"",Sheet1!A105)</f>
        <v>English</v>
      </c>
      <c r="B1286" s="1" t="str">
        <f>IF(Sheet1!B105=0,"",Sheet1!B105)</f>
        <v>N</v>
      </c>
      <c r="C1286" s="97"/>
      <c r="D1286" s="97"/>
      <c r="E1286" s="97"/>
      <c r="F1286" s="97"/>
      <c r="AA1286" s="1" t="str">
        <f>IF(LEN(A1286)&gt;0,CONCATENATE(A1286,CHAR(10)),"")</f>
        <v>English
</v>
      </c>
      <c r="AB1286" s="1" t="str">
        <f>IF(LEN(B1286)&gt;0,CONCATENATE(B1286,CHAR(10)),"")</f>
        <v>N
</v>
      </c>
    </row>
    <row r="1287" spans="1:28" ht="10.5">
      <c r="A1287" s="1">
        <f>IF(Sheet1!A106=0,"",Sheet1!A106)</f>
      </c>
      <c r="B1287" s="1">
        <f>IF(Sheet1!B106=0,"",Sheet1!B106)</f>
      </c>
      <c r="C1287" s="97"/>
      <c r="D1287" s="97"/>
      <c r="E1287" s="97"/>
      <c r="F1287" s="97"/>
      <c r="AA1287" s="1">
        <f>IF(LEN(A1287)&gt;0,CONCATENATE(A1287,CHAR(10)),"")</f>
      </c>
      <c r="AB1287" s="1">
        <f>IF(LEN(B1287)&gt;0,CONCATENATE(B1287,CHAR(10)),"")</f>
      </c>
    </row>
    <row r="1288" spans="1:28" ht="10.5">
      <c r="A1288" s="1">
        <f>IF(Sheet1!A107=0,"",Sheet1!A107)</f>
      </c>
      <c r="B1288" s="1">
        <f>IF(Sheet1!B107=0,"",Sheet1!B107)</f>
      </c>
      <c r="C1288" s="97"/>
      <c r="D1288" s="97"/>
      <c r="E1288" s="97"/>
      <c r="F1288" s="97"/>
      <c r="AA1288" s="1">
        <f>IF(LEN(A1288)&gt;0,CONCATENATE(A1288,CHAR(10)),"")</f>
      </c>
      <c r="AB1288" s="1">
        <f>IF(LEN(B1288)&gt;0,CONCATENATE(B1288,CHAR(10)),"")</f>
      </c>
    </row>
    <row r="1289" spans="1:28" ht="10.5">
      <c r="A1289" s="1">
        <f>IF(Sheet1!A108=0,"",Sheet1!A108)</f>
      </c>
      <c r="B1289" s="1">
        <f>IF(Sheet1!B108=0,"",Sheet1!B108)</f>
      </c>
      <c r="C1289" s="97"/>
      <c r="D1289" s="97"/>
      <c r="E1289" s="97"/>
      <c r="F1289" s="97"/>
      <c r="AA1289" s="1">
        <f>IF(LEN(A1289)&gt;0,CONCATENATE(A1289,CHAR(10)),"")</f>
      </c>
      <c r="AB1289" s="1">
        <f>IF(LEN(B1289)&gt;0,CONCATENATE(B1289,CHAR(10)),"")</f>
      </c>
    </row>
    <row r="1290" spans="1:28" ht="10.5">
      <c r="A1290" s="1">
        <f>IF(Sheet1!A109=0,"",Sheet1!A109)</f>
      </c>
      <c r="B1290" s="1">
        <f>IF(Sheet1!B109=0,"",Sheet1!B109)</f>
      </c>
      <c r="C1290" s="97"/>
      <c r="D1290" s="97"/>
      <c r="E1290" s="97"/>
      <c r="F1290" s="97"/>
      <c r="AA1290" s="1">
        <f>IF(LEN(A1290)&gt;0,CONCATENATE(A1290,CHAR(10)),"")</f>
      </c>
      <c r="AB1290" s="1">
        <f>IF(LEN(B1290)&gt;0,CONCATENATE(B1290,CHAR(10)),"")</f>
      </c>
    </row>
    <row r="1291" spans="1:6" ht="10.5">
      <c r="A1291" s="99"/>
      <c r="B1291" s="99"/>
      <c r="C1291" s="97"/>
      <c r="D1291" s="97"/>
      <c r="E1291" s="97"/>
      <c r="F1291" s="97"/>
    </row>
    <row r="1292" spans="1:6" ht="10.5">
      <c r="A1292" s="99"/>
      <c r="B1292" s="99"/>
      <c r="C1292" s="97"/>
      <c r="D1292" s="97"/>
      <c r="E1292" s="97"/>
      <c r="F1292" s="97"/>
    </row>
    <row r="1293" spans="1:6" ht="10.5">
      <c r="A1293" s="99" t="str">
        <f>CONCATENATE(AA1286,AA1287,AA1288,AA1289,AA1290)</f>
        <v>English
</v>
      </c>
      <c r="B1293" s="99" t="str">
        <f>CONCATENATE(AB1286,AB1287,AB1288,AB1289,AB1290)</f>
        <v>N
</v>
      </c>
      <c r="C1293" s="97"/>
      <c r="D1293" s="97"/>
      <c r="E1293" s="97"/>
      <c r="F1293" s="97"/>
    </row>
    <row r="1294" spans="1:6" ht="10.5">
      <c r="A1294" s="99"/>
      <c r="B1294" s="101"/>
      <c r="C1294" s="97"/>
      <c r="D1294" s="97"/>
      <c r="E1294" s="97"/>
      <c r="F1294" s="97"/>
    </row>
    <row r="1295" spans="1:6" ht="10.5">
      <c r="A1295" s="99"/>
      <c r="B1295" s="101"/>
      <c r="C1295" s="97"/>
      <c r="D1295" s="97"/>
      <c r="E1295" s="97"/>
      <c r="F1295" s="97"/>
    </row>
    <row r="1296" spans="1:6" ht="10.5">
      <c r="A1296" s="99"/>
      <c r="B1296" s="101"/>
      <c r="C1296" s="97"/>
      <c r="D1296" s="97"/>
      <c r="E1296" s="97"/>
      <c r="F1296" s="97"/>
    </row>
    <row r="1297" spans="1:6" ht="10.5">
      <c r="A1297" s="99"/>
      <c r="B1297" s="101"/>
      <c r="C1297" s="97"/>
      <c r="D1297" s="97"/>
      <c r="E1297" s="97"/>
      <c r="F1297" s="97"/>
    </row>
    <row r="1298" spans="1:6" ht="10.5">
      <c r="A1298" s="99"/>
      <c r="B1298" s="101"/>
      <c r="C1298" s="97"/>
      <c r="D1298" s="97"/>
      <c r="E1298" s="97"/>
      <c r="F1298" s="97"/>
    </row>
    <row r="1299" spans="1:6" ht="10.5">
      <c r="A1299" s="99"/>
      <c r="B1299" s="101"/>
      <c r="C1299" s="97"/>
      <c r="D1299" s="97"/>
      <c r="E1299" s="97"/>
      <c r="F1299" s="97"/>
    </row>
    <row r="1310" ht="10.5">
      <c r="A1310" s="4" t="s">
        <v>1336</v>
      </c>
    </row>
    <row r="1311" spans="1:28" ht="10.5">
      <c r="A1311" s="1">
        <f>IF(Sheet1!H78=0,"",Sheet1!H78)</f>
      </c>
      <c r="B1311" s="1">
        <f>IF(Sheet1!I78=0,"",Sheet1!I78)</f>
      </c>
      <c r="AA1311" s="1">
        <f>IF(LEN(A1311)&gt;0,CONCATENATE(A1311,CHAR(10)),"")</f>
      </c>
      <c r="AB1311" s="1">
        <f>IF(LEN(B1311)&gt;0,CONCATENATE("(",B1311," BP)",CHAR(10)),"")</f>
      </c>
    </row>
    <row r="1312" spans="1:28" ht="10.5">
      <c r="A1312" s="1">
        <f>IF(Sheet1!H79=0,"",Sheet1!H79)</f>
      </c>
      <c r="B1312" s="1">
        <f>IF(Sheet1!I79=0,"",Sheet1!I79)</f>
      </c>
      <c r="AA1312" s="1">
        <f>IF(LEN(A1312)&gt;0,CONCATENATE(A1312,CHAR(10)),"")</f>
      </c>
      <c r="AB1312" s="1">
        <f>IF(LEN(B1312)&gt;0,CONCATENATE("(",B1312," BP)",CHAR(10)),"")</f>
      </c>
    </row>
    <row r="1313" spans="1:28" ht="10.5">
      <c r="A1313" s="1">
        <f>IF(Sheet1!H80=0,"",Sheet1!H80)</f>
      </c>
      <c r="B1313" s="1">
        <f>IF(Sheet1!I80=0,"",Sheet1!I80)</f>
      </c>
      <c r="AA1313" s="1">
        <f>IF(LEN(A1313)&gt;0,CONCATENATE(A1313,CHAR(10)),"")</f>
      </c>
      <c r="AB1313" s="1">
        <f>IF(LEN(B1313)&gt;0,CONCATENATE("(",B1313," BP)",CHAR(10)),"")</f>
      </c>
    </row>
    <row r="1314" spans="1:28" ht="10.5">
      <c r="A1314" s="1">
        <f>IF(Sheet1!H81=0,"",Sheet1!H81)</f>
      </c>
      <c r="B1314" s="1">
        <f>IF(Sheet1!I81=0,"",Sheet1!I81)</f>
      </c>
      <c r="AA1314" s="1">
        <f>IF(LEN(A1314)&gt;0,CONCATENATE(A1314,CHAR(10)),"")</f>
      </c>
      <c r="AB1314" s="1">
        <f>IF(LEN(B1314)&gt;0,CONCATENATE("(",B1314," BP)",CHAR(10)),"")</f>
      </c>
    </row>
    <row r="1315" spans="1:28" ht="10.5">
      <c r="A1315" s="1">
        <f>IF(Sheet1!H82=0,"",Sheet1!H82)</f>
      </c>
      <c r="B1315" s="1">
        <f>IF(Sheet1!I82=0,"",Sheet1!I82)</f>
      </c>
      <c r="AA1315" s="1">
        <f>IF(LEN(A1315)&gt;0,CONCATENATE(A1315,CHAR(10)),"")</f>
      </c>
      <c r="AB1315" s="1">
        <f>IF(LEN(B1315)&gt;0,CONCATENATE("(",B1315," BP)",CHAR(10)),"")</f>
      </c>
    </row>
    <row r="1316" spans="1:28" ht="10.5">
      <c r="A1316" s="1">
        <f>IF(Sheet1!H85=0,"",Sheet1!H85)</f>
      </c>
      <c r="B1316" s="1">
        <f>IF(Sheet1!I85=0,"",Sheet1!I85)</f>
      </c>
      <c r="AA1316" s="1">
        <f>IF(LEN(A1316)&gt;0,CONCATENATE(A1316,CHAR(10)),"")</f>
      </c>
      <c r="AB1316" s="1">
        <f>IF(LEN(B1316)&gt;0,CONCATENATE("(",B1316," BP)",CHAR(10)),"")</f>
      </c>
    </row>
    <row r="1317" spans="1:28" ht="10.5">
      <c r="A1317" s="1">
        <f>IF(Sheet1!H86=0,"",Sheet1!H86)</f>
      </c>
      <c r="B1317" s="1">
        <f>IF(Sheet1!I86=0,"",Sheet1!I86)</f>
      </c>
      <c r="AA1317" s="1">
        <f>IF(LEN(A1317)&gt;0,CONCATENATE(A1317,CHAR(10)),"")</f>
      </c>
      <c r="AB1317" s="1">
        <f>IF(LEN(B1317)&gt;0,CONCATENATE("(",B1317," BP)",CHAR(10)),"")</f>
      </c>
    </row>
    <row r="1318" spans="1:28" ht="10.5">
      <c r="A1318" s="1">
        <f>IF(Sheet1!H87=0,"",Sheet1!H87)</f>
      </c>
      <c r="B1318" s="1">
        <f>IF(Sheet1!I87=0,"",Sheet1!I87)</f>
      </c>
      <c r="AA1318" s="1">
        <f>IF(LEN(A1318)&gt;0,CONCATENATE(A1318,CHAR(10)),"")</f>
      </c>
      <c r="AB1318" s="1">
        <f>IF(LEN(B1318)&gt;0,CONCATENATE("(",B1318," BP)",CHAR(10)),"")</f>
      </c>
    </row>
    <row r="1319" spans="1:28" ht="10.5">
      <c r="A1319" s="1">
        <f>IF(Sheet1!H88=0,"",Sheet1!H88)</f>
      </c>
      <c r="B1319" s="1">
        <f>IF(Sheet1!I88=0,"",Sheet1!I88)</f>
      </c>
      <c r="AA1319" s="1">
        <f>IF(LEN(A1319)&gt;0,CONCATENATE(A1319,CHAR(10)),"")</f>
      </c>
      <c r="AB1319" s="1">
        <f>IF(LEN(B1319)&gt;0,CONCATENATE("(",B1319," BP)",CHAR(10)),"")</f>
      </c>
    </row>
    <row r="1320" spans="1:28" ht="10.5">
      <c r="A1320" s="1">
        <f>IF(Sheet1!H89=0,"",Sheet1!H89)</f>
      </c>
      <c r="B1320" s="1">
        <f>IF(Sheet1!I89=0,"",Sheet1!I89)</f>
      </c>
      <c r="AA1320" s="1">
        <f>IF(LEN(A1320)&gt;0,CONCATENATE(A1320,CHAR(10)),"")</f>
      </c>
      <c r="AB1320" s="1">
        <f>IF(LEN(B1320)&gt;0,CONCATENATE("(",B1320," BP)",CHAR(10)),"")</f>
      </c>
    </row>
    <row r="1326" spans="1:2" ht="10.5">
      <c r="A1326" s="1">
        <f>CONCATENATE(AA1311,AA1312,AA1313,AA1314,AA1315,AA1316,AA1317,AA1318,AA1319,AA1320)</f>
      </c>
      <c r="B1326" s="1">
        <f>CONCATENATE(AB1311,AB1312,AB1313,AB1314,AB1315,AB1316,AB1317,AB1318,AB1319,AB1320)</f>
      </c>
    </row>
    <row r="1335" spans="1:3" ht="10.5">
      <c r="A1335" s="4" t="s">
        <v>1337</v>
      </c>
      <c r="B1335" s="1" t="s">
        <v>1338</v>
      </c>
      <c r="C1335" s="1" t="s">
        <v>1339</v>
      </c>
    </row>
    <row r="1336" spans="1:27" ht="10.5">
      <c r="A1336" s="1" t="str">
        <f>IF(Sheet1!H93=0,"",Sheet1!H93)</f>
        <v>Mak the mechanic</v>
      </c>
      <c r="B1336" s="1">
        <f>IF(Sheet1!I93=0,"",Sheet1!I93)</f>
        <v>6</v>
      </c>
      <c r="C1336" s="1">
        <f>IF(Sheet1!J93=0,"",Sheet1!J93)</f>
        <v>5</v>
      </c>
      <c r="AA1336" s="1" t="str">
        <f>IF(A1336="","",CONCATENATE(A1336," (Connection ",B1336,", Loyalty ",C1336,")",CHAR(10)))</f>
        <v>Mak the mechanic (Connection 6, Loyalty 5)
</v>
      </c>
    </row>
    <row r="1337" spans="1:27" ht="10.5">
      <c r="A1337" s="1">
        <f>IF(Sheet1!H94=0,"",Sheet1!H94)</f>
      </c>
      <c r="B1337" s="1">
        <f>IF(Sheet1!I94=0,"",Sheet1!I94)</f>
      </c>
      <c r="C1337" s="1">
        <f>IF(Sheet1!J94=0,"",Sheet1!J94)</f>
      </c>
      <c r="AA1337" s="1">
        <f>IF(A1337="","",CONCATENATE(A1337," (Connection ",B1337,", Loyalty ",C1337,")",CHAR(10)))</f>
      </c>
    </row>
    <row r="1338" spans="1:27" ht="10.5">
      <c r="A1338" s="1">
        <f>IF(Sheet1!H95=0,"",Sheet1!H95)</f>
      </c>
      <c r="B1338" s="1">
        <f>IF(Sheet1!I95=0,"",Sheet1!I95)</f>
      </c>
      <c r="C1338" s="1">
        <f>IF(Sheet1!J95=0,"",Sheet1!J95)</f>
      </c>
      <c r="AA1338" s="1">
        <f>IF(A1338="","",CONCATENATE(A1338," (Connection ",B1338,", Loyalty ",C1338,")",CHAR(10)))</f>
      </c>
    </row>
    <row r="1339" spans="1:27" ht="10.5">
      <c r="A1339" s="1">
        <f>IF(Sheet1!H96=0,"",Sheet1!H96)</f>
      </c>
      <c r="B1339" s="1">
        <f>IF(Sheet1!I96=0,"",Sheet1!I96)</f>
      </c>
      <c r="C1339" s="1">
        <f>IF(Sheet1!J96=0,"",Sheet1!J96)</f>
      </c>
      <c r="AA1339" s="1">
        <f>IF(A1339="","",CONCATENATE(A1339," (Connection ",B1339,", Loyalty ",C1339,")",CHAR(10)))</f>
      </c>
    </row>
    <row r="1340" spans="1:27" ht="10.5">
      <c r="A1340" s="1">
        <f>IF(Sheet1!H97=0,"",Sheet1!H97)</f>
      </c>
      <c r="B1340" s="1">
        <f>IF(Sheet1!I97=0,"",Sheet1!I97)</f>
      </c>
      <c r="C1340" s="1">
        <f>IF(Sheet1!J97=0,"",Sheet1!J97)</f>
      </c>
      <c r="AA1340" s="1">
        <f>IF(A1340="","",CONCATENATE(A1340," (Connection ",B1340,", Loyalty ",C1340,")",CHAR(10)))</f>
      </c>
    </row>
    <row r="1341" spans="1:27" ht="10.5">
      <c r="A1341" s="1">
        <f>IF(Sheet1!H98=0,"",Sheet1!H98)</f>
      </c>
      <c r="B1341" s="1">
        <f>IF(Sheet1!I98=0,"",Sheet1!I98)</f>
      </c>
      <c r="C1341" s="1">
        <f>IF(Sheet1!J98=0,"",Sheet1!J98)</f>
      </c>
      <c r="AA1341" s="1">
        <f>IF(A1341="","",CONCATENATE(A1341," (Connection ",B1341,", Loyalty ",C1341,")",CHAR(10)))</f>
      </c>
    </row>
    <row r="1343" ht="10.5">
      <c r="A1343" s="1" t="str">
        <f>CONCATENATE(AA1336,AA1337,AA1338,AA1339,AA1340,AA1341)</f>
        <v>Mak the mechanic (Connection 6, Loyalty 5)
</v>
      </c>
    </row>
    <row r="1523" spans="1:3" ht="10.5">
      <c r="A1523" s="4" t="s">
        <v>1340</v>
      </c>
      <c r="B1523" s="4" t="s">
        <v>177</v>
      </c>
      <c r="C1523" s="4" t="s">
        <v>5</v>
      </c>
    </row>
    <row r="1524" spans="1:3" ht="10.5">
      <c r="A1524" s="1" t="s">
        <v>180</v>
      </c>
      <c r="B1524" s="76">
        <v>1</v>
      </c>
      <c r="C1524" s="1">
        <v>1</v>
      </c>
    </row>
    <row r="1525" spans="1:3" ht="10.5">
      <c r="A1525" s="1" t="s">
        <v>1341</v>
      </c>
      <c r="B1525" s="76">
        <v>0.8</v>
      </c>
      <c r="C1525" s="1">
        <v>2</v>
      </c>
    </row>
    <row r="1526" spans="1:3" ht="10.5">
      <c r="A1526" s="1" t="s">
        <v>1342</v>
      </c>
      <c r="B1526" s="76">
        <v>0.7</v>
      </c>
      <c r="C1526" s="1">
        <v>4</v>
      </c>
    </row>
    <row r="1527" spans="1:3" ht="10.5">
      <c r="A1527" s="1" t="s">
        <v>1343</v>
      </c>
      <c r="B1527" s="76">
        <v>0.5</v>
      </c>
      <c r="C1527" s="1">
        <v>10</v>
      </c>
    </row>
    <row r="1530" spans="1:19" ht="10.5">
      <c r="A1530" s="4" t="s">
        <v>1344</v>
      </c>
      <c r="F1530" s="1" t="s">
        <v>22</v>
      </c>
      <c r="G1530" s="1" t="s">
        <v>561</v>
      </c>
      <c r="H1530" s="1" t="s">
        <v>562</v>
      </c>
      <c r="I1530" s="1" t="s">
        <v>563</v>
      </c>
      <c r="J1530" s="1" t="s">
        <v>564</v>
      </c>
      <c r="K1530" s="1" t="s">
        <v>565</v>
      </c>
      <c r="L1530" s="1" t="s">
        <v>566</v>
      </c>
      <c r="M1530" s="1" t="s">
        <v>567</v>
      </c>
      <c r="N1530" s="1" t="s">
        <v>568</v>
      </c>
      <c r="O1530" s="1" t="s">
        <v>569</v>
      </c>
      <c r="P1530" s="1" t="s">
        <v>570</v>
      </c>
      <c r="Q1530" s="1" t="s">
        <v>571</v>
      </c>
      <c r="S1530" s="1" t="s">
        <v>572</v>
      </c>
    </row>
    <row r="1531" spans="1:29" ht="10.5">
      <c r="A1531" s="1" t="str">
        <f>Sheet1!A155</f>
        <v>Skillwires V</v>
      </c>
      <c r="F1531" s="1">
        <f>IF(ISERROR(VLOOKUP($A1531,CyberTable,6,FALSE)=TRUE),0,VLOOKUP($A1531,CyberTable,6,FALSE))</f>
      </c>
      <c r="G1531" s="1">
        <f>IF(ISERROR(VLOOKUP($A1531,CyberTable,7,FALSE)=TRUE),0,VLOOKUP($A1531,CyberTable,7,FALSE))</f>
      </c>
      <c r="H1531" s="1">
        <f>IF(ISERROR(VLOOKUP($A1531,CyberTable,8,FALSE)=TRUE),0,VLOOKUP($A1531,CyberTable,8,FALSE))</f>
      </c>
      <c r="I1531" s="1">
        <f>IF(ISERROR(VLOOKUP($A1531,CyberTable,9,FALSE)=TRUE),0,VLOOKUP($A1531,CyberTable,9,FALSE))</f>
      </c>
      <c r="J1531" s="1">
        <f>IF(ISERROR(VLOOKUP($A1531,CyberTable,10,FALSE)=TRUE),0,VLOOKUP($A1531,CyberTable,10,FALSE))</f>
      </c>
      <c r="K1531" s="1">
        <f>IF(ISERROR(VLOOKUP($A1531,CyberTable,11,FALSE)=TRUE),0,VLOOKUP($A1531,CyberTable,11,FALSE))</f>
      </c>
      <c r="L1531" s="1">
        <f>IF(ISERROR(VLOOKUP($A1531,CyberTable,12,FALSE)=TRUE),0,VLOOKUP($A1531,CyberTable,12,FALSE))</f>
      </c>
      <c r="M1531" s="1">
        <f>IF(ISERROR(VLOOKUP($A1531,CyberTable,13,FALSE)=TRUE),0,VLOOKUP($A1531,CyberTable,13,FALSE))</f>
      </c>
      <c r="N1531" s="1">
        <f>IF(ISERROR(VLOOKUP($A1531,CyberTable,14,FALSE)=TRUE),0,VLOOKUP($A1531,CyberTable,14,FALSE))</f>
      </c>
      <c r="O1531" s="1">
        <f>IF(ISERROR(VLOOKUP($A1531,CyberTable,16,FALSE)=TRUE),0,VLOOKUP($A1531,CyberTable,16,FALSE))</f>
      </c>
      <c r="P1531" s="1">
        <f>IF(ISERROR(VLOOKUP($A1531,CyberTable,17,FALSE)=TRUE),0,VLOOKUP($A1531,CyberTable,17,FALSE))</f>
      </c>
      <c r="Q1531" s="1">
        <f>IF(ISERROR(VLOOKUP($A1531,CyberTable,18,FALSE)=TRUE),0,VLOOKUP($A1531,CyberTable,18,FALSE))</f>
      </c>
      <c r="S1531" s="1">
        <f>IF(ISERROR(VLOOKUP($A1531,CyberTable,19,FALSE)=TRUE),0,VLOOKUP($A1531,CyberTable,19,FALSE))</f>
      </c>
      <c r="T1531" s="1">
        <f>IF(ISERROR(VLOOKUP($A1531,CyberTable,20,FALSE)=TRUE),0,VLOOKUP($A1531,CyberTable,20,FALSE))</f>
      </c>
      <c r="AA1531" s="1" t="str">
        <f>Sheet1!E155</f>
        <v>Standard</v>
      </c>
      <c r="AB1531" s="1">
        <f>IF(AA1531="Standard","",CONCATENATE(" (",AA1531,")"))</f>
      </c>
      <c r="AC1531" s="1" t="str">
        <f>IF(A1531=0,"",CONCATENATE(A1531,AB1531,CHAR(10)))</f>
        <v>Skillwires V
</v>
      </c>
    </row>
    <row r="1532" spans="1:29" ht="10.5">
      <c r="A1532" s="1" t="str">
        <f>Sheet1!A156</f>
        <v>Bone Lacing, Titanium</v>
      </c>
      <c r="F1532" s="1">
        <f>IF(ISERROR(VLOOKUP($A1532,CyberTable,6,FALSE)=TRUE),0,VLOOKUP($A1532,CyberTable,6,FALSE))</f>
      </c>
      <c r="G1532" s="1">
        <f>IF(ISERROR(VLOOKUP($A1532,CyberTable,7,FALSE)=TRUE),0,VLOOKUP($A1532,CyberTable,7,FALSE))</f>
      </c>
      <c r="H1532" s="1">
        <f>IF(ISERROR(VLOOKUP($A1532,CyberTable,8,FALSE)=TRUE),0,VLOOKUP($A1532,CyberTable,8,FALSE))</f>
      </c>
      <c r="I1532" s="1">
        <f>IF(ISERROR(VLOOKUP($A1532,CyberTable,9,FALSE)=TRUE),0,VLOOKUP($A1532,CyberTable,9,FALSE))</f>
      </c>
      <c r="J1532" s="1">
        <f>IF(ISERROR(VLOOKUP($A1532,CyberTable,10,FALSE)=TRUE),0,VLOOKUP($A1532,CyberTable,10,FALSE))</f>
      </c>
      <c r="K1532" s="1">
        <f>IF(ISERROR(VLOOKUP($A1532,CyberTable,11,FALSE)=TRUE),0,VLOOKUP($A1532,CyberTable,11,FALSE))</f>
      </c>
      <c r="L1532" s="1">
        <f>IF(ISERROR(VLOOKUP($A1532,CyberTable,12,FALSE)=TRUE),0,VLOOKUP($A1532,CyberTable,12,FALSE))</f>
      </c>
      <c r="M1532" s="1">
        <f>IF(ISERROR(VLOOKUP($A1532,CyberTable,13,FALSE)=TRUE),0,VLOOKUP($A1532,CyberTable,13,FALSE))</f>
      </c>
      <c r="N1532" s="1">
        <f>IF(ISERROR(VLOOKUP($A1532,CyberTable,14,FALSE)=TRUE),0,VLOOKUP($A1532,CyberTable,14,FALSE))</f>
        <v>3</v>
      </c>
      <c r="O1532" s="1">
        <f>IF(ISERROR(VLOOKUP($A1532,CyberTable,16,FALSE)=TRUE),0,VLOOKUP($A1532,CyberTable,16,FALSE))</f>
        <v>1</v>
      </c>
      <c r="P1532" s="1">
        <f>IF(ISERROR(VLOOKUP($A1532,CyberTable,17,FALSE)=TRUE),0,VLOOKUP($A1532,CyberTable,17,FALSE))</f>
        <v>1</v>
      </c>
      <c r="Q1532" s="1">
        <f>IF(ISERROR(VLOOKUP($A1532,CyberTable,18,FALSE)=TRUE),0,VLOOKUP($A1532,CyberTable,18,FALSE))</f>
      </c>
      <c r="S1532" s="1">
        <f>IF(ISERROR(VLOOKUP($A1532,CyberTable,19,FALSE)=TRUE),0,VLOOKUP($A1532,CyberTable,19,FALSE))</f>
        <v>3</v>
      </c>
      <c r="T1532" s="1">
        <f>IF(ISERROR(VLOOKUP($A1532,CyberTable,20,FALSE)=TRUE),0,VLOOKUP($A1532,CyberTable,20,FALSE))</f>
        <v>1</v>
      </c>
      <c r="AA1532" s="1" t="str">
        <f>Sheet1!E156</f>
        <v>Standard</v>
      </c>
      <c r="AB1532" s="1">
        <f>IF(AA1532="Standard","",CONCATENATE(" (",AA1532,")"))</f>
      </c>
      <c r="AC1532" s="1" t="str">
        <f>IF(A1532=0,"",CONCATENATE(A1532,AB1532,CHAR(10)))</f>
        <v>Bone Lacing, Titanium
</v>
      </c>
    </row>
    <row r="1533" spans="1:29" ht="10.5">
      <c r="A1533" s="1">
        <f>Sheet1!A157</f>
        <v>0</v>
      </c>
      <c r="F1533" s="1">
        <f>IF(ISERROR(VLOOKUP($A1533,CyberTable,6,FALSE)=TRUE),0,VLOOKUP($A1533,CyberTable,6,FALSE))</f>
        <v>0</v>
      </c>
      <c r="G1533" s="1">
        <f>IF(ISERROR(VLOOKUP($A1533,CyberTable,7,FALSE)=TRUE),0,VLOOKUP($A1533,CyberTable,7,FALSE))</f>
        <v>0</v>
      </c>
      <c r="H1533" s="1">
        <f>IF(ISERROR(VLOOKUP($A1533,CyberTable,8,FALSE)=TRUE),0,VLOOKUP($A1533,CyberTable,8,FALSE))</f>
        <v>0</v>
      </c>
      <c r="I1533" s="1">
        <f>IF(ISERROR(VLOOKUP($A1533,CyberTable,9,FALSE)=TRUE),0,VLOOKUP($A1533,CyberTable,9,FALSE))</f>
        <v>0</v>
      </c>
      <c r="J1533" s="1">
        <f>IF(ISERROR(VLOOKUP($A1533,CyberTable,10,FALSE)=TRUE),0,VLOOKUP($A1533,CyberTable,10,FALSE))</f>
        <v>0</v>
      </c>
      <c r="K1533" s="1">
        <f>IF(ISERROR(VLOOKUP($A1533,CyberTable,11,FALSE)=TRUE),0,VLOOKUP($A1533,CyberTable,11,FALSE))</f>
        <v>0</v>
      </c>
      <c r="L1533" s="1">
        <f>IF(ISERROR(VLOOKUP($A1533,CyberTable,12,FALSE)=TRUE),0,VLOOKUP($A1533,CyberTable,12,FALSE))</f>
        <v>0</v>
      </c>
      <c r="M1533" s="1">
        <f>IF(ISERROR(VLOOKUP($A1533,CyberTable,13,FALSE)=TRUE),0,VLOOKUP($A1533,CyberTable,13,FALSE))</f>
        <v>0</v>
      </c>
      <c r="N1533" s="1">
        <f>IF(ISERROR(VLOOKUP($A1533,CyberTable,14,FALSE)=TRUE),0,VLOOKUP($A1533,CyberTable,14,FALSE))</f>
        <v>0</v>
      </c>
      <c r="O1533" s="1">
        <f>IF(ISERROR(VLOOKUP($A1533,CyberTable,16,FALSE)=TRUE),0,VLOOKUP($A1533,CyberTable,16,FALSE))</f>
        <v>0</v>
      </c>
      <c r="P1533" s="1">
        <f>IF(ISERROR(VLOOKUP($A1533,CyberTable,17,FALSE)=TRUE),0,VLOOKUP($A1533,CyberTable,17,FALSE))</f>
        <v>0</v>
      </c>
      <c r="Q1533" s="1">
        <f>IF(ISERROR(VLOOKUP($A1533,CyberTable,18,FALSE)=TRUE),0,VLOOKUP($A1533,CyberTable,18,FALSE))</f>
        <v>0</v>
      </c>
      <c r="S1533" s="1">
        <f>IF(ISERROR(VLOOKUP($A1533,CyberTable,19,FALSE)=TRUE),0,VLOOKUP($A1533,CyberTable,19,FALSE))</f>
        <v>0</v>
      </c>
      <c r="T1533" s="1">
        <f>IF(ISERROR(VLOOKUP($A1533,CyberTable,20,FALSE)=TRUE),0,VLOOKUP($A1533,CyberTable,20,FALSE))</f>
        <v>0</v>
      </c>
      <c r="AA1533" s="1" t="str">
        <f>Sheet1!E157</f>
        <v>Standard</v>
      </c>
      <c r="AB1533" s="1">
        <f>IF(AA1533="Standard","",CONCATENATE(" (",AA1533,")"))</f>
      </c>
      <c r="AC1533" s="1">
        <f>IF(A1533=0,"",CONCATENATE(A1533,AB1533,CHAR(10)))</f>
      </c>
    </row>
    <row r="1534" spans="1:29" ht="10.5">
      <c r="A1534" s="1">
        <f>Sheet1!A158</f>
        <v>0</v>
      </c>
      <c r="F1534" s="1">
        <f>IF(ISERROR(VLOOKUP($A1534,CyberTable,6,FALSE)=TRUE),0,VLOOKUP($A1534,CyberTable,6,FALSE))</f>
        <v>0</v>
      </c>
      <c r="G1534" s="1">
        <f>IF(ISERROR(VLOOKUP($A1534,CyberTable,7,FALSE)=TRUE),0,VLOOKUP($A1534,CyberTable,7,FALSE))</f>
        <v>0</v>
      </c>
      <c r="H1534" s="1">
        <f>IF(ISERROR(VLOOKUP($A1534,CyberTable,8,FALSE)=TRUE),0,VLOOKUP($A1534,CyberTable,8,FALSE))</f>
        <v>0</v>
      </c>
      <c r="I1534" s="1">
        <f>IF(ISERROR(VLOOKUP($A1534,CyberTable,9,FALSE)=TRUE),0,VLOOKUP($A1534,CyberTable,9,FALSE))</f>
        <v>0</v>
      </c>
      <c r="J1534" s="1">
        <f>IF(ISERROR(VLOOKUP($A1534,CyberTable,10,FALSE)=TRUE),0,VLOOKUP($A1534,CyberTable,10,FALSE))</f>
        <v>0</v>
      </c>
      <c r="K1534" s="1">
        <f>IF(ISERROR(VLOOKUP($A1534,CyberTable,11,FALSE)=TRUE),0,VLOOKUP($A1534,CyberTable,11,FALSE))</f>
        <v>0</v>
      </c>
      <c r="L1534" s="1">
        <f>IF(ISERROR(VLOOKUP($A1534,CyberTable,12,FALSE)=TRUE),0,VLOOKUP($A1534,CyberTable,12,FALSE))</f>
        <v>0</v>
      </c>
      <c r="M1534" s="1">
        <f>IF(ISERROR(VLOOKUP($A1534,CyberTable,13,FALSE)=TRUE),0,VLOOKUP($A1534,CyberTable,13,FALSE))</f>
        <v>0</v>
      </c>
      <c r="N1534" s="1">
        <f>IF(ISERROR(VLOOKUP($A1534,CyberTable,14,FALSE)=TRUE),0,VLOOKUP($A1534,CyberTable,14,FALSE))</f>
        <v>0</v>
      </c>
      <c r="O1534" s="1">
        <f>IF(ISERROR(VLOOKUP($A1534,CyberTable,16,FALSE)=TRUE),0,VLOOKUP($A1534,CyberTable,16,FALSE))</f>
        <v>0</v>
      </c>
      <c r="P1534" s="1">
        <f>IF(ISERROR(VLOOKUP($A1534,CyberTable,17,FALSE)=TRUE),0,VLOOKUP($A1534,CyberTable,17,FALSE))</f>
        <v>0</v>
      </c>
      <c r="Q1534" s="1">
        <f>IF(ISERROR(VLOOKUP($A1534,CyberTable,18,FALSE)=TRUE),0,VLOOKUP($A1534,CyberTable,18,FALSE))</f>
        <v>0</v>
      </c>
      <c r="S1534" s="1">
        <f>IF(ISERROR(VLOOKUP($A1534,CyberTable,19,FALSE)=TRUE),0,VLOOKUP($A1534,CyberTable,19,FALSE))</f>
        <v>0</v>
      </c>
      <c r="T1534" s="1">
        <f>IF(ISERROR(VLOOKUP($A1534,CyberTable,20,FALSE)=TRUE),0,VLOOKUP($A1534,CyberTable,20,FALSE))</f>
        <v>0</v>
      </c>
      <c r="AA1534" s="1" t="str">
        <f>Sheet1!E158</f>
        <v>Standard</v>
      </c>
      <c r="AB1534" s="1">
        <f>IF(AA1534="Standard","",CONCATENATE(" (",AA1534,")"))</f>
      </c>
      <c r="AC1534" s="1">
        <f>IF(A1534=0,"",CONCATENATE(A1534,AB1534,CHAR(10)))</f>
      </c>
    </row>
    <row r="1535" spans="1:29" ht="10.5">
      <c r="A1535" s="1">
        <f>Sheet1!A159</f>
        <v>0</v>
      </c>
      <c r="F1535" s="1">
        <f>IF(ISERROR(VLOOKUP($A1535,CyberTable,6,FALSE)=TRUE),0,VLOOKUP($A1535,CyberTable,6,FALSE))</f>
        <v>0</v>
      </c>
      <c r="G1535" s="1">
        <f>IF(ISERROR(VLOOKUP($A1535,CyberTable,7,FALSE)=TRUE),0,VLOOKUP($A1535,CyberTable,7,FALSE))</f>
        <v>0</v>
      </c>
      <c r="H1535" s="1">
        <f>IF(ISERROR(VLOOKUP($A1535,CyberTable,8,FALSE)=TRUE),0,VLOOKUP($A1535,CyberTable,8,FALSE))</f>
        <v>0</v>
      </c>
      <c r="I1535" s="1">
        <f>IF(ISERROR(VLOOKUP($A1535,CyberTable,9,FALSE)=TRUE),0,VLOOKUP($A1535,CyberTable,9,FALSE))</f>
        <v>0</v>
      </c>
      <c r="J1535" s="1">
        <f>IF(ISERROR(VLOOKUP($A1535,CyberTable,10,FALSE)=TRUE),0,VLOOKUP($A1535,CyberTable,10,FALSE))</f>
        <v>0</v>
      </c>
      <c r="K1535" s="1">
        <f>IF(ISERROR(VLOOKUP($A1535,CyberTable,11,FALSE)=TRUE),0,VLOOKUP($A1535,CyberTable,11,FALSE))</f>
        <v>0</v>
      </c>
      <c r="L1535" s="1">
        <f>IF(ISERROR(VLOOKUP($A1535,CyberTable,12,FALSE)=TRUE),0,VLOOKUP($A1535,CyberTable,12,FALSE))</f>
        <v>0</v>
      </c>
      <c r="M1535" s="1">
        <f>IF(ISERROR(VLOOKUP($A1535,CyberTable,13,FALSE)=TRUE),0,VLOOKUP($A1535,CyberTable,13,FALSE))</f>
        <v>0</v>
      </c>
      <c r="N1535" s="1">
        <f>IF(ISERROR(VLOOKUP($A1535,CyberTable,14,FALSE)=TRUE),0,VLOOKUP($A1535,CyberTable,14,FALSE))</f>
        <v>0</v>
      </c>
      <c r="O1535" s="1">
        <f>IF(ISERROR(VLOOKUP($A1535,CyberTable,16,FALSE)=TRUE),0,VLOOKUP($A1535,CyberTable,16,FALSE))</f>
        <v>0</v>
      </c>
      <c r="P1535" s="1">
        <f>IF(ISERROR(VLOOKUP($A1535,CyberTable,17,FALSE)=TRUE),0,VLOOKUP($A1535,CyberTable,17,FALSE))</f>
        <v>0</v>
      </c>
      <c r="Q1535" s="1">
        <f>IF(ISERROR(VLOOKUP($A1535,CyberTable,18,FALSE)=TRUE),0,VLOOKUP($A1535,CyberTable,18,FALSE))</f>
        <v>0</v>
      </c>
      <c r="S1535" s="1">
        <f>IF(ISERROR(VLOOKUP($A1535,CyberTable,19,FALSE)=TRUE),0,VLOOKUP($A1535,CyberTable,19,FALSE))</f>
        <v>0</v>
      </c>
      <c r="T1535" s="1">
        <f>IF(ISERROR(VLOOKUP($A1535,CyberTable,20,FALSE)=TRUE),0,VLOOKUP($A1535,CyberTable,20,FALSE))</f>
        <v>0</v>
      </c>
      <c r="AA1535" s="1" t="str">
        <f>Sheet1!E159</f>
        <v>Standard</v>
      </c>
      <c r="AB1535" s="1">
        <f>IF(AA1535="Standard","",CONCATENATE(" (",AA1535,")"))</f>
      </c>
      <c r="AC1535" s="1">
        <f>IF(A1535=0,"",CONCATENATE(A1535,AB1535,CHAR(10)))</f>
      </c>
    </row>
    <row r="1536" spans="1:29" ht="10.5">
      <c r="A1536" s="1">
        <f>Sheet1!A160</f>
        <v>0</v>
      </c>
      <c r="F1536" s="1">
        <f>IF(ISERROR(VLOOKUP($A1536,CyberTable,6,FALSE)=TRUE),0,VLOOKUP($A1536,CyberTable,6,FALSE))</f>
        <v>0</v>
      </c>
      <c r="G1536" s="1">
        <f>IF(ISERROR(VLOOKUP($A1536,CyberTable,7,FALSE)=TRUE),0,VLOOKUP($A1536,CyberTable,7,FALSE))</f>
        <v>0</v>
      </c>
      <c r="H1536" s="1">
        <f>IF(ISERROR(VLOOKUP($A1536,CyberTable,8,FALSE)=TRUE),0,VLOOKUP($A1536,CyberTable,8,FALSE))</f>
        <v>0</v>
      </c>
      <c r="I1536" s="1">
        <f>IF(ISERROR(VLOOKUP($A1536,CyberTable,9,FALSE)=TRUE),0,VLOOKUP($A1536,CyberTable,9,FALSE))</f>
        <v>0</v>
      </c>
      <c r="J1536" s="1">
        <f>IF(ISERROR(VLOOKUP($A1536,CyberTable,10,FALSE)=TRUE),0,VLOOKUP($A1536,CyberTable,10,FALSE))</f>
        <v>0</v>
      </c>
      <c r="K1536" s="1">
        <f>IF(ISERROR(VLOOKUP($A1536,CyberTable,11,FALSE)=TRUE),0,VLOOKUP($A1536,CyberTable,11,FALSE))</f>
        <v>0</v>
      </c>
      <c r="L1536" s="1">
        <f>IF(ISERROR(VLOOKUP($A1536,CyberTable,12,FALSE)=TRUE),0,VLOOKUP($A1536,CyberTable,12,FALSE))</f>
        <v>0</v>
      </c>
      <c r="M1536" s="1">
        <f>IF(ISERROR(VLOOKUP($A1536,CyberTable,13,FALSE)=TRUE),0,VLOOKUP($A1536,CyberTable,13,FALSE))</f>
        <v>0</v>
      </c>
      <c r="N1536" s="1">
        <f>IF(ISERROR(VLOOKUP($A1536,CyberTable,14,FALSE)=TRUE),0,VLOOKUP($A1536,CyberTable,14,FALSE))</f>
        <v>0</v>
      </c>
      <c r="O1536" s="1">
        <f>IF(ISERROR(VLOOKUP($A1536,CyberTable,16,FALSE)=TRUE),0,VLOOKUP($A1536,CyberTable,16,FALSE))</f>
        <v>0</v>
      </c>
      <c r="P1536" s="1">
        <f>IF(ISERROR(VLOOKUP($A1536,CyberTable,17,FALSE)=TRUE),0,VLOOKUP($A1536,CyberTable,17,FALSE))</f>
        <v>0</v>
      </c>
      <c r="Q1536" s="1">
        <f>IF(ISERROR(VLOOKUP($A1536,CyberTable,18,FALSE)=TRUE),0,VLOOKUP($A1536,CyberTable,18,FALSE))</f>
        <v>0</v>
      </c>
      <c r="S1536" s="1">
        <f>IF(ISERROR(VLOOKUP($A1536,CyberTable,19,FALSE)=TRUE),0,VLOOKUP($A1536,CyberTable,19,FALSE))</f>
        <v>0</v>
      </c>
      <c r="T1536" s="1">
        <f>IF(ISERROR(VLOOKUP($A1536,CyberTable,20,FALSE)=TRUE),0,VLOOKUP($A1536,CyberTable,20,FALSE))</f>
        <v>0</v>
      </c>
      <c r="AA1536" s="1" t="str">
        <f>Sheet1!E160</f>
        <v>Standard</v>
      </c>
      <c r="AB1536" s="1">
        <f>IF(AA1536="Standard","",CONCATENATE(" (",AA1536,")"))</f>
      </c>
      <c r="AC1536" s="1">
        <f>IF(A1536=0,"",CONCATENATE(A1536,AB1536,CHAR(10)))</f>
      </c>
    </row>
    <row r="1537" spans="1:29" ht="10.5">
      <c r="A1537" s="1">
        <f>Sheet1!A161</f>
        <v>0</v>
      </c>
      <c r="F1537" s="1">
        <f>IF(ISERROR(VLOOKUP($A1537,CyberTable,6,FALSE)=TRUE),0,VLOOKUP($A1537,CyberTable,6,FALSE))</f>
        <v>0</v>
      </c>
      <c r="G1537" s="1">
        <f>IF(ISERROR(VLOOKUP($A1537,CyberTable,7,FALSE)=TRUE),0,VLOOKUP($A1537,CyberTable,7,FALSE))</f>
        <v>0</v>
      </c>
      <c r="H1537" s="1">
        <f>IF(ISERROR(VLOOKUP($A1537,CyberTable,8,FALSE)=TRUE),0,VLOOKUP($A1537,CyberTable,8,FALSE))</f>
        <v>0</v>
      </c>
      <c r="I1537" s="1">
        <f>IF(ISERROR(VLOOKUP($A1537,CyberTable,9,FALSE)=TRUE),0,VLOOKUP($A1537,CyberTable,9,FALSE))</f>
        <v>0</v>
      </c>
      <c r="J1537" s="1">
        <f>IF(ISERROR(VLOOKUP($A1537,CyberTable,10,FALSE)=TRUE),0,VLOOKUP($A1537,CyberTable,10,FALSE))</f>
        <v>0</v>
      </c>
      <c r="K1537" s="1">
        <f>IF(ISERROR(VLOOKUP($A1537,CyberTable,11,FALSE)=TRUE),0,VLOOKUP($A1537,CyberTable,11,FALSE))</f>
        <v>0</v>
      </c>
      <c r="L1537" s="1">
        <f>IF(ISERROR(VLOOKUP($A1537,CyberTable,12,FALSE)=TRUE),0,VLOOKUP($A1537,CyberTable,12,FALSE))</f>
        <v>0</v>
      </c>
      <c r="M1537" s="1">
        <f>IF(ISERROR(VLOOKUP($A1537,CyberTable,13,FALSE)=TRUE),0,VLOOKUP($A1537,CyberTable,13,FALSE))</f>
        <v>0</v>
      </c>
      <c r="N1537" s="1">
        <f>IF(ISERROR(VLOOKUP($A1537,CyberTable,14,FALSE)=TRUE),0,VLOOKUP($A1537,CyberTable,14,FALSE))</f>
        <v>0</v>
      </c>
      <c r="O1537" s="1">
        <f>IF(ISERROR(VLOOKUP($A1537,CyberTable,16,FALSE)=TRUE),0,VLOOKUP($A1537,CyberTable,16,FALSE))</f>
        <v>0</v>
      </c>
      <c r="P1537" s="1">
        <f>IF(ISERROR(VLOOKUP($A1537,CyberTable,17,FALSE)=TRUE),0,VLOOKUP($A1537,CyberTable,17,FALSE))</f>
        <v>0</v>
      </c>
      <c r="Q1537" s="1">
        <f>IF(ISERROR(VLOOKUP($A1537,CyberTable,18,FALSE)=TRUE),0,VLOOKUP($A1537,CyberTable,18,FALSE))</f>
        <v>0</v>
      </c>
      <c r="S1537" s="1">
        <f>IF(ISERROR(VLOOKUP($A1537,CyberTable,19,FALSE)=TRUE),0,VLOOKUP($A1537,CyberTable,19,FALSE))</f>
        <v>0</v>
      </c>
      <c r="T1537" s="1">
        <f>IF(ISERROR(VLOOKUP($A1537,CyberTable,20,FALSE)=TRUE),0,VLOOKUP($A1537,CyberTable,20,FALSE))</f>
        <v>0</v>
      </c>
      <c r="AA1537" s="1" t="str">
        <f>Sheet1!E161</f>
        <v>Standard</v>
      </c>
      <c r="AB1537" s="1">
        <f>IF(AA1537="Standard","",CONCATENATE(" (",AA1537,")"))</f>
      </c>
      <c r="AC1537" s="1">
        <f>IF(A1537=0,"",CONCATENATE(A1537,AB1537,CHAR(10)))</f>
      </c>
    </row>
    <row r="1538" spans="1:29" ht="10.5">
      <c r="A1538" s="1">
        <f>Sheet1!A162</f>
        <v>0</v>
      </c>
      <c r="F1538" s="1">
        <f>IF(ISERROR(VLOOKUP($A1538,CyberTable,6,FALSE)=TRUE),0,VLOOKUP($A1538,CyberTable,6,FALSE))</f>
        <v>0</v>
      </c>
      <c r="G1538" s="1">
        <f>IF(ISERROR(VLOOKUP($A1538,CyberTable,7,FALSE)=TRUE),0,VLOOKUP($A1538,CyberTable,7,FALSE))</f>
        <v>0</v>
      </c>
      <c r="H1538" s="1">
        <f>IF(ISERROR(VLOOKUP($A1538,CyberTable,8,FALSE)=TRUE),0,VLOOKUP($A1538,CyberTable,8,FALSE))</f>
        <v>0</v>
      </c>
      <c r="I1538" s="1">
        <f>IF(ISERROR(VLOOKUP($A1538,CyberTable,9,FALSE)=TRUE),0,VLOOKUP($A1538,CyberTable,9,FALSE))</f>
        <v>0</v>
      </c>
      <c r="J1538" s="1">
        <f>IF(ISERROR(VLOOKUP($A1538,CyberTable,10,FALSE)=TRUE),0,VLOOKUP($A1538,CyberTable,10,FALSE))</f>
        <v>0</v>
      </c>
      <c r="K1538" s="1">
        <f>IF(ISERROR(VLOOKUP($A1538,CyberTable,11,FALSE)=TRUE),0,VLOOKUP($A1538,CyberTable,11,FALSE))</f>
        <v>0</v>
      </c>
      <c r="L1538" s="1">
        <f>IF(ISERROR(VLOOKUP($A1538,CyberTable,12,FALSE)=TRUE),0,VLOOKUP($A1538,CyberTable,12,FALSE))</f>
        <v>0</v>
      </c>
      <c r="M1538" s="1">
        <f>IF(ISERROR(VLOOKUP($A1538,CyberTable,13,FALSE)=TRUE),0,VLOOKUP($A1538,CyberTable,13,FALSE))</f>
        <v>0</v>
      </c>
      <c r="N1538" s="1">
        <f>IF(ISERROR(VLOOKUP($A1538,CyberTable,14,FALSE)=TRUE),0,VLOOKUP($A1538,CyberTable,14,FALSE))</f>
        <v>0</v>
      </c>
      <c r="O1538" s="1">
        <f>IF(ISERROR(VLOOKUP($A1538,CyberTable,16,FALSE)=TRUE),0,VLOOKUP($A1538,CyberTable,16,FALSE))</f>
        <v>0</v>
      </c>
      <c r="P1538" s="1">
        <f>IF(ISERROR(VLOOKUP($A1538,CyberTable,17,FALSE)=TRUE),0,VLOOKUP($A1538,CyberTable,17,FALSE))</f>
        <v>0</v>
      </c>
      <c r="Q1538" s="1">
        <f>IF(ISERROR(VLOOKUP($A1538,CyberTable,18,FALSE)=TRUE),0,VLOOKUP($A1538,CyberTable,18,FALSE))</f>
        <v>0</v>
      </c>
      <c r="S1538" s="1">
        <f>IF(ISERROR(VLOOKUP($A1538,CyberTable,19,FALSE)=TRUE),0,VLOOKUP($A1538,CyberTable,19,FALSE))</f>
        <v>0</v>
      </c>
      <c r="T1538" s="1">
        <f>IF(ISERROR(VLOOKUP($A1538,CyberTable,20,FALSE)=TRUE),0,VLOOKUP($A1538,CyberTable,20,FALSE))</f>
        <v>0</v>
      </c>
      <c r="AA1538" s="1" t="str">
        <f>Sheet1!E162</f>
        <v>Standard</v>
      </c>
      <c r="AB1538" s="1">
        <f>IF(AA1538="Standard","",CONCATENATE(" (",AA1538,")"))</f>
      </c>
      <c r="AC1538" s="1">
        <f>IF(A1538=0,"",CONCATENATE(A1538,AB1538,CHAR(10)))</f>
      </c>
    </row>
    <row r="1539" spans="1:29" ht="10.5">
      <c r="A1539" s="1">
        <f>Sheet1!A163</f>
        <v>0</v>
      </c>
      <c r="F1539" s="1">
        <f>IF(ISERROR(VLOOKUP($A1539,CyberTable,6,FALSE)=TRUE),0,VLOOKUP($A1539,CyberTable,6,FALSE))</f>
        <v>0</v>
      </c>
      <c r="G1539" s="1">
        <f>IF(ISERROR(VLOOKUP($A1539,CyberTable,7,FALSE)=TRUE),0,VLOOKUP($A1539,CyberTable,7,FALSE))</f>
        <v>0</v>
      </c>
      <c r="H1539" s="1">
        <f>IF(ISERROR(VLOOKUP($A1539,CyberTable,8,FALSE)=TRUE),0,VLOOKUP($A1539,CyberTable,8,FALSE))</f>
        <v>0</v>
      </c>
      <c r="I1539" s="1">
        <f>IF(ISERROR(VLOOKUP($A1539,CyberTable,9,FALSE)=TRUE),0,VLOOKUP($A1539,CyberTable,9,FALSE))</f>
        <v>0</v>
      </c>
      <c r="J1539" s="1">
        <f>IF(ISERROR(VLOOKUP($A1539,CyberTable,10,FALSE)=TRUE),0,VLOOKUP($A1539,CyberTable,10,FALSE))</f>
        <v>0</v>
      </c>
      <c r="K1539" s="1">
        <f>IF(ISERROR(VLOOKUP($A1539,CyberTable,11,FALSE)=TRUE),0,VLOOKUP($A1539,CyberTable,11,FALSE))</f>
        <v>0</v>
      </c>
      <c r="L1539" s="1">
        <f>IF(ISERROR(VLOOKUP($A1539,CyberTable,12,FALSE)=TRUE),0,VLOOKUP($A1539,CyberTable,12,FALSE))</f>
        <v>0</v>
      </c>
      <c r="M1539" s="1">
        <f>IF(ISERROR(VLOOKUP($A1539,CyberTable,13,FALSE)=TRUE),0,VLOOKUP($A1539,CyberTable,13,FALSE))</f>
        <v>0</v>
      </c>
      <c r="N1539" s="1">
        <f>IF(ISERROR(VLOOKUP($A1539,CyberTable,14,FALSE)=TRUE),0,VLOOKUP($A1539,CyberTable,14,FALSE))</f>
        <v>0</v>
      </c>
      <c r="O1539" s="1">
        <f>IF(ISERROR(VLOOKUP($A1539,CyberTable,16,FALSE)=TRUE),0,VLOOKUP($A1539,CyberTable,16,FALSE))</f>
        <v>0</v>
      </c>
      <c r="P1539" s="1">
        <f>IF(ISERROR(VLOOKUP($A1539,CyberTable,17,FALSE)=TRUE),0,VLOOKUP($A1539,CyberTable,17,FALSE))</f>
        <v>0</v>
      </c>
      <c r="Q1539" s="1">
        <f>IF(ISERROR(VLOOKUP($A1539,CyberTable,18,FALSE)=TRUE),0,VLOOKUP($A1539,CyberTable,18,FALSE))</f>
        <v>0</v>
      </c>
      <c r="S1539" s="1">
        <f>IF(ISERROR(VLOOKUP($A1539,CyberTable,19,FALSE)=TRUE),0,VLOOKUP($A1539,CyberTable,19,FALSE))</f>
        <v>0</v>
      </c>
      <c r="T1539" s="1">
        <f>IF(ISERROR(VLOOKUP($A1539,CyberTable,20,FALSE)=TRUE),0,VLOOKUP($A1539,CyberTable,20,FALSE))</f>
        <v>0</v>
      </c>
      <c r="AA1539" s="1" t="str">
        <f>Sheet1!E163</f>
        <v>Standard</v>
      </c>
      <c r="AB1539" s="1">
        <f>IF(AA1539="Standard","",CONCATENATE(" (",AA1539,")"))</f>
      </c>
      <c r="AC1539" s="1">
        <f>IF(A1539=0,"",CONCATENATE(A1539,AB1539,CHAR(10)))</f>
      </c>
    </row>
    <row r="1540" spans="1:29" ht="10.5">
      <c r="A1540" s="1">
        <f>Sheet1!A164</f>
        <v>0</v>
      </c>
      <c r="F1540" s="1">
        <f>IF(ISERROR(VLOOKUP($A1540,CyberTable,6,FALSE)=TRUE),0,VLOOKUP($A1540,CyberTable,6,FALSE))</f>
        <v>0</v>
      </c>
      <c r="G1540" s="1">
        <f>IF(ISERROR(VLOOKUP($A1540,CyberTable,7,FALSE)=TRUE),0,VLOOKUP($A1540,CyberTable,7,FALSE))</f>
        <v>0</v>
      </c>
      <c r="H1540" s="1">
        <f>IF(ISERROR(VLOOKUP($A1540,CyberTable,8,FALSE)=TRUE),0,VLOOKUP($A1540,CyberTable,8,FALSE))</f>
        <v>0</v>
      </c>
      <c r="I1540" s="1">
        <f>IF(ISERROR(VLOOKUP($A1540,CyberTable,9,FALSE)=TRUE),0,VLOOKUP($A1540,CyberTable,9,FALSE))</f>
        <v>0</v>
      </c>
      <c r="J1540" s="1">
        <f>IF(ISERROR(VLOOKUP($A1540,CyberTable,10,FALSE)=TRUE),0,VLOOKUP($A1540,CyberTable,10,FALSE))</f>
        <v>0</v>
      </c>
      <c r="K1540" s="1">
        <f>IF(ISERROR(VLOOKUP($A1540,CyberTable,11,FALSE)=TRUE),0,VLOOKUP($A1540,CyberTable,11,FALSE))</f>
        <v>0</v>
      </c>
      <c r="L1540" s="1">
        <f>IF(ISERROR(VLOOKUP($A1540,CyberTable,12,FALSE)=TRUE),0,VLOOKUP($A1540,CyberTable,12,FALSE))</f>
        <v>0</v>
      </c>
      <c r="M1540" s="1">
        <f>IF(ISERROR(VLOOKUP($A1540,CyberTable,13,FALSE)=TRUE),0,VLOOKUP($A1540,CyberTable,13,FALSE))</f>
        <v>0</v>
      </c>
      <c r="N1540" s="1">
        <f>IF(ISERROR(VLOOKUP($A1540,CyberTable,14,FALSE)=TRUE),0,VLOOKUP($A1540,CyberTable,14,FALSE))</f>
        <v>0</v>
      </c>
      <c r="O1540" s="1">
        <f>IF(ISERROR(VLOOKUP($A1540,CyberTable,16,FALSE)=TRUE),0,VLOOKUP($A1540,CyberTable,16,FALSE))</f>
        <v>0</v>
      </c>
      <c r="P1540" s="1">
        <f>IF(ISERROR(VLOOKUP($A1540,CyberTable,17,FALSE)=TRUE),0,VLOOKUP($A1540,CyberTable,17,FALSE))</f>
        <v>0</v>
      </c>
      <c r="Q1540" s="1">
        <f>IF(ISERROR(VLOOKUP($A1540,CyberTable,18,FALSE)=TRUE),0,VLOOKUP($A1540,CyberTable,18,FALSE))</f>
        <v>0</v>
      </c>
      <c r="S1540" s="1">
        <f>IF(ISERROR(VLOOKUP($A1540,CyberTable,19,FALSE)=TRUE),0,VLOOKUP($A1540,CyberTable,19,FALSE))</f>
        <v>0</v>
      </c>
      <c r="T1540" s="1">
        <f>IF(ISERROR(VLOOKUP($A1540,CyberTable,20,FALSE)=TRUE),0,VLOOKUP($A1540,CyberTable,20,FALSE))</f>
        <v>0</v>
      </c>
      <c r="AA1540" s="1" t="str">
        <f>Sheet1!E164</f>
        <v>Standard</v>
      </c>
      <c r="AB1540" s="1">
        <f>IF(AA1540="Standard","",CONCATENATE(" (",AA1540,")"))</f>
      </c>
      <c r="AC1540" s="1">
        <f>IF(A1540=0,"",CONCATENATE(A1540,AB1540,CHAR(10)))</f>
      </c>
    </row>
    <row r="1541" spans="1:29" ht="10.5">
      <c r="A1541" s="1">
        <f>Sheet1!A165</f>
        <v>0</v>
      </c>
      <c r="F1541" s="1">
        <f>IF(ISERROR(VLOOKUP($A1541,CyberTable,6,FALSE)=TRUE),0,VLOOKUP($A1541,CyberTable,6,FALSE))</f>
        <v>0</v>
      </c>
      <c r="G1541" s="1">
        <f>IF(ISERROR(VLOOKUP($A1541,CyberTable,7,FALSE)=TRUE),0,VLOOKUP($A1541,CyberTable,7,FALSE))</f>
        <v>0</v>
      </c>
      <c r="H1541" s="1">
        <f>IF(ISERROR(VLOOKUP($A1541,CyberTable,8,FALSE)=TRUE),0,VLOOKUP($A1541,CyberTable,8,FALSE))</f>
        <v>0</v>
      </c>
      <c r="I1541" s="1">
        <f>IF(ISERROR(VLOOKUP($A1541,CyberTable,9,FALSE)=TRUE),0,VLOOKUP($A1541,CyberTable,9,FALSE))</f>
        <v>0</v>
      </c>
      <c r="J1541" s="1">
        <f>IF(ISERROR(VLOOKUP($A1541,CyberTable,10,FALSE)=TRUE),0,VLOOKUP($A1541,CyberTable,10,FALSE))</f>
        <v>0</v>
      </c>
      <c r="K1541" s="1">
        <f>IF(ISERROR(VLOOKUP($A1541,CyberTable,11,FALSE)=TRUE),0,VLOOKUP($A1541,CyberTable,11,FALSE))</f>
        <v>0</v>
      </c>
      <c r="L1541" s="1">
        <f>IF(ISERROR(VLOOKUP($A1541,CyberTable,12,FALSE)=TRUE),0,VLOOKUP($A1541,CyberTable,12,FALSE))</f>
        <v>0</v>
      </c>
      <c r="M1541" s="1">
        <f>IF(ISERROR(VLOOKUP($A1541,CyberTable,13,FALSE)=TRUE),0,VLOOKUP($A1541,CyberTable,13,FALSE))</f>
        <v>0</v>
      </c>
      <c r="N1541" s="1">
        <f>IF(ISERROR(VLOOKUP($A1541,CyberTable,14,FALSE)=TRUE),0,VLOOKUP($A1541,CyberTable,14,FALSE))</f>
        <v>0</v>
      </c>
      <c r="O1541" s="1">
        <f>IF(ISERROR(VLOOKUP($A1541,CyberTable,16,FALSE)=TRUE),0,VLOOKUP($A1541,CyberTable,16,FALSE))</f>
        <v>0</v>
      </c>
      <c r="P1541" s="1">
        <f>IF(ISERROR(VLOOKUP($A1541,CyberTable,17,FALSE)=TRUE),0,VLOOKUP($A1541,CyberTable,17,FALSE))</f>
        <v>0</v>
      </c>
      <c r="Q1541" s="1">
        <f>IF(ISERROR(VLOOKUP($A1541,CyberTable,18,FALSE)=TRUE),0,VLOOKUP($A1541,CyberTable,18,FALSE))</f>
        <v>0</v>
      </c>
      <c r="S1541" s="1">
        <f>IF(ISERROR(VLOOKUP($A1541,CyberTable,19,FALSE)=TRUE),0,VLOOKUP($A1541,CyberTable,19,FALSE))</f>
        <v>0</v>
      </c>
      <c r="T1541" s="1">
        <f>IF(ISERROR(VLOOKUP($A1541,CyberTable,20,FALSE)=TRUE),0,VLOOKUP($A1541,CyberTable,20,FALSE))</f>
        <v>0</v>
      </c>
      <c r="AA1541" s="1" t="str">
        <f>Sheet1!E165</f>
        <v>Standard</v>
      </c>
      <c r="AB1541" s="1">
        <f>IF(AA1541="Standard","",CONCATENATE(" (",AA1541,")"))</f>
      </c>
      <c r="AC1541" s="1">
        <f>IF(A1541=0,"",CONCATENATE(A1541,AB1541,CHAR(10)))</f>
      </c>
    </row>
    <row r="1542" spans="1:29" ht="10.5">
      <c r="A1542" s="1">
        <f>Sheet1!A166</f>
        <v>0</v>
      </c>
      <c r="F1542" s="1">
        <f>IF(ISERROR(VLOOKUP($A1542,CyberTable,6,FALSE)=TRUE),0,VLOOKUP($A1542,CyberTable,6,FALSE))</f>
        <v>0</v>
      </c>
      <c r="G1542" s="1">
        <f>IF(ISERROR(VLOOKUP($A1542,CyberTable,7,FALSE)=TRUE),0,VLOOKUP($A1542,CyberTable,7,FALSE))</f>
        <v>0</v>
      </c>
      <c r="H1542" s="1">
        <f>IF(ISERROR(VLOOKUP($A1542,CyberTable,8,FALSE)=TRUE),0,VLOOKUP($A1542,CyberTable,8,FALSE))</f>
        <v>0</v>
      </c>
      <c r="I1542" s="1">
        <f>IF(ISERROR(VLOOKUP($A1542,CyberTable,9,FALSE)=TRUE),0,VLOOKUP($A1542,CyberTable,9,FALSE))</f>
        <v>0</v>
      </c>
      <c r="J1542" s="1">
        <f>IF(ISERROR(VLOOKUP($A1542,CyberTable,10,FALSE)=TRUE),0,VLOOKUP($A1542,CyberTable,10,FALSE))</f>
        <v>0</v>
      </c>
      <c r="K1542" s="1">
        <f>IF(ISERROR(VLOOKUP($A1542,CyberTable,11,FALSE)=TRUE),0,VLOOKUP($A1542,CyberTable,11,FALSE))</f>
        <v>0</v>
      </c>
      <c r="L1542" s="1">
        <f>IF(ISERROR(VLOOKUP($A1542,CyberTable,12,FALSE)=TRUE),0,VLOOKUP($A1542,CyberTable,12,FALSE))</f>
        <v>0</v>
      </c>
      <c r="M1542" s="1">
        <f>IF(ISERROR(VLOOKUP($A1542,CyberTable,13,FALSE)=TRUE),0,VLOOKUP($A1542,CyberTable,13,FALSE))</f>
        <v>0</v>
      </c>
      <c r="N1542" s="1">
        <f>IF(ISERROR(VLOOKUP($A1542,CyberTable,14,FALSE)=TRUE),0,VLOOKUP($A1542,CyberTable,14,FALSE))</f>
        <v>0</v>
      </c>
      <c r="O1542" s="1">
        <f>IF(ISERROR(VLOOKUP($A1542,CyberTable,16,FALSE)=TRUE),0,VLOOKUP($A1542,CyberTable,16,FALSE))</f>
        <v>0</v>
      </c>
      <c r="P1542" s="1">
        <f>IF(ISERROR(VLOOKUP($A1542,CyberTable,17,FALSE)=TRUE),0,VLOOKUP($A1542,CyberTable,17,FALSE))</f>
        <v>0</v>
      </c>
      <c r="Q1542" s="1">
        <f>IF(ISERROR(VLOOKUP($A1542,CyberTable,18,FALSE)=TRUE),0,VLOOKUP($A1542,CyberTable,18,FALSE))</f>
        <v>0</v>
      </c>
      <c r="S1542" s="1">
        <f>IF(ISERROR(VLOOKUP($A1542,CyberTable,19,FALSE)=TRUE),0,VLOOKUP($A1542,CyberTable,19,FALSE))</f>
        <v>0</v>
      </c>
      <c r="T1542" s="1">
        <f>IF(ISERROR(VLOOKUP($A1542,CyberTable,20,FALSE)=TRUE),0,VLOOKUP($A1542,CyberTable,20,FALSE))</f>
        <v>0</v>
      </c>
      <c r="AA1542" s="1" t="str">
        <f>Sheet1!E166</f>
        <v>Standard</v>
      </c>
      <c r="AB1542" s="1">
        <f>IF(AA1542="Standard","",CONCATENATE(" (",AA1542,")"))</f>
      </c>
      <c r="AC1542" s="1">
        <f>IF(A1542=0,"",CONCATENATE(A1542,AB1542,CHAR(10)))</f>
      </c>
    </row>
    <row r="1543" spans="1:19" ht="10.5">
      <c r="A1543" s="4" t="s">
        <v>1345</v>
      </c>
      <c r="S1543" s="1">
        <f>SUM(S1531:S1542)</f>
        <v>3</v>
      </c>
    </row>
    <row r="1544" spans="1:29" ht="10.5">
      <c r="A1544" s="1" t="str">
        <f>Sheet1!H155</f>
        <v>Suprathyroid Gland</v>
      </c>
      <c r="F1544" s="1">
        <f>IF(ISERROR(VLOOKUP($A1544,BioTable,6,FALSE)=TRUE),0,VLOOKUP($A1544,BioTable,6,FALSE))</f>
        <v>1</v>
      </c>
      <c r="G1544" s="1">
        <f>IF(ISERROR(VLOOKUP($A1544,BioTable,7,FALSE)=TRUE),0,VLOOKUP($A1544,BioTable,7,FALSE))</f>
        <v>1</v>
      </c>
      <c r="H1544" s="1">
        <f>IF(ISERROR(VLOOKUP($A1544,BioTable,8,FALSE)=TRUE),0,VLOOKUP($A1544,BioTable,8,FALSE))</f>
        <v>1</v>
      </c>
      <c r="I1544" s="1">
        <f>IF(ISERROR(VLOOKUP($A1544,BioTable,9,FALSE)=TRUE),0,VLOOKUP($A1544,BioTable,9,FALSE))</f>
        <v>1</v>
      </c>
      <c r="J1544" s="1">
        <f>IF(ISERROR(VLOOKUP($A1544,BioTable,10,FALSE)=TRUE),0,VLOOKUP($A1544,BioTable,10,FALSE))</f>
      </c>
      <c r="K1544" s="1">
        <f>IF(ISERROR(VLOOKUP($A1544,BioTable,11,FALSE)=TRUE),0,VLOOKUP($A1544,BioTable,11,FALSE))</f>
      </c>
      <c r="L1544" s="1">
        <f>IF(ISERROR(VLOOKUP($A1544,BioTable,12,FALSE)=TRUE),0,VLOOKUP($A1544,BioTable,12,FALSE))</f>
      </c>
      <c r="M1544" s="1">
        <f>IF(ISERROR(VLOOKUP($A1544,BioTable,13,FALSE)=TRUE),0,VLOOKUP($A1544,BioTable,13,FALSE))</f>
      </c>
      <c r="N1544" s="1">
        <f>IF(ISERROR(VLOOKUP($A1544,BioTable,14,FALSE)=TRUE),0,VLOOKUP($A1544,BioTable,14,FALSE))</f>
      </c>
      <c r="O1544" s="1">
        <f>IF(ISERROR(VLOOKUP($A1544,BioTable,16,FALSE)=TRUE),0,VLOOKUP($A1544,BioTable,16,FALSE))</f>
      </c>
      <c r="P1544" s="1">
        <f>IF(ISERROR(VLOOKUP($A1544,BioTable,17,FALSE)=TRUE),0,VLOOKUP($A1544,BioTable,17,FALSE))</f>
      </c>
      <c r="Q1544" s="1">
        <f>IF(ISERROR(VLOOKUP($A1544,BioTable,18,FALSE)=TRUE),0,VLOOKUP($A1544,BioTable,18,FALSE))</f>
      </c>
      <c r="S1544" s="1">
        <f>IF(ISERROR(VLOOKUP($A1544,BioTable,19,FALSE)=TRUE),0,VLOOKUP($A1544,BioTable,19,FALSE))</f>
      </c>
      <c r="T1544" s="1">
        <f>IF(ISERROR(VLOOKUP($A1544,BioTable,20,FALSE)=TRUE),0,VLOOKUP($A1544,BioTable,20,FALSE))</f>
      </c>
      <c r="AA1544" s="1" t="str">
        <f>Sheet1!L155</f>
        <v>Standard</v>
      </c>
      <c r="AB1544" s="1">
        <f>IF(AA1544="Standard","",CONCATENATE(" (",AA1544,")"))</f>
      </c>
      <c r="AC1544" s="1" t="str">
        <f>IF(A1544=0,"",CONCATENATE(A1544,AB1544,CHAR(10)))</f>
        <v>Suprathyroid Gland
</v>
      </c>
    </row>
    <row r="1545" spans="1:29" ht="10.5">
      <c r="A1545" s="1" t="str">
        <f>Sheet1!H156</f>
        <v>Muscle Augmentation IV</v>
      </c>
      <c r="F1545" s="1">
        <f>IF(ISERROR(VLOOKUP($A1545,BioTable,6,FALSE)=TRUE),0,VLOOKUP($A1545,BioTable,6,FALSE))</f>
      </c>
      <c r="G1545" s="1">
        <f>IF(ISERROR(VLOOKUP($A1545,BioTable,7,FALSE)=TRUE),0,VLOOKUP($A1545,BioTable,7,FALSE))</f>
      </c>
      <c r="H1545" s="1">
        <f>IF(ISERROR(VLOOKUP($A1545,BioTable,8,FALSE)=TRUE),0,VLOOKUP($A1545,BioTable,8,FALSE))</f>
      </c>
      <c r="I1545" s="1">
        <f>IF(ISERROR(VLOOKUP($A1545,BioTable,9,FALSE)=TRUE),0,VLOOKUP($A1545,BioTable,9,FALSE))</f>
        <v>4</v>
      </c>
      <c r="J1545" s="1">
        <f>IF(ISERROR(VLOOKUP($A1545,BioTable,10,FALSE)=TRUE),0,VLOOKUP($A1545,BioTable,10,FALSE))</f>
      </c>
      <c r="K1545" s="1">
        <f>IF(ISERROR(VLOOKUP($A1545,BioTable,11,FALSE)=TRUE),0,VLOOKUP($A1545,BioTable,11,FALSE))</f>
      </c>
      <c r="L1545" s="1">
        <f>IF(ISERROR(VLOOKUP($A1545,BioTable,12,FALSE)=TRUE),0,VLOOKUP($A1545,BioTable,12,FALSE))</f>
      </c>
      <c r="M1545" s="1">
        <f>IF(ISERROR(VLOOKUP($A1545,BioTable,13,FALSE)=TRUE),0,VLOOKUP($A1545,BioTable,13,FALSE))</f>
      </c>
      <c r="N1545" s="1">
        <f>IF(ISERROR(VLOOKUP($A1545,BioTable,14,FALSE)=TRUE),0,VLOOKUP($A1545,BioTable,14,FALSE))</f>
      </c>
      <c r="O1545" s="1">
        <f>IF(ISERROR(VLOOKUP($A1545,BioTable,16,FALSE)=TRUE),0,VLOOKUP($A1545,BioTable,16,FALSE))</f>
      </c>
      <c r="P1545" s="1">
        <f>IF(ISERROR(VLOOKUP($A1545,BioTable,17,FALSE)=TRUE),0,VLOOKUP($A1545,BioTable,17,FALSE))</f>
      </c>
      <c r="Q1545" s="1">
        <f>IF(ISERROR(VLOOKUP($A1545,BioTable,18,FALSE)=TRUE),0,VLOOKUP($A1545,BioTable,18,FALSE))</f>
      </c>
      <c r="S1545" s="1">
        <f>IF(ISERROR(VLOOKUP($A1545,BioTable,19,FALSE)=TRUE),0,VLOOKUP($A1545,BioTable,19,FALSE))</f>
      </c>
      <c r="T1545" s="1">
        <f>IF(ISERROR(VLOOKUP($A1545,BioTable,20,FALSE)=TRUE),0,VLOOKUP($A1545,BioTable,20,FALSE))</f>
      </c>
      <c r="AA1545" s="1" t="str">
        <f>Sheet1!L156</f>
        <v>Standard</v>
      </c>
      <c r="AB1545" s="1">
        <f>IF(AA1545="Standard","",CONCATENATE(" (",AA1545,")"))</f>
      </c>
      <c r="AC1545" s="1" t="str">
        <f>IF(A1545=0,"",CONCATENATE(A1545,AB1545,CHAR(10)))</f>
        <v>Muscle Augmentation IV
</v>
      </c>
    </row>
    <row r="1546" spans="1:29" ht="10.5">
      <c r="A1546" s="1" t="str">
        <f>Sheet1!H157</f>
        <v>Muscle Toner IV</v>
      </c>
      <c r="F1546" s="1">
        <f>IF(ISERROR(VLOOKUP($A1546,BioTable,6,FALSE)=TRUE),0,VLOOKUP($A1546,BioTable,6,FALSE))</f>
      </c>
      <c r="G1546" s="1">
        <f>IF(ISERROR(VLOOKUP($A1546,BioTable,7,FALSE)=TRUE),0,VLOOKUP($A1546,BioTable,7,FALSE))</f>
        <v>4</v>
      </c>
      <c r="H1546" s="1">
        <f>IF(ISERROR(VLOOKUP($A1546,BioTable,8,FALSE)=TRUE),0,VLOOKUP($A1546,BioTable,8,FALSE))</f>
      </c>
      <c r="I1546" s="1">
        <f>IF(ISERROR(VLOOKUP($A1546,BioTable,9,FALSE)=TRUE),0,VLOOKUP($A1546,BioTable,9,FALSE))</f>
      </c>
      <c r="J1546" s="1">
        <f>IF(ISERROR(VLOOKUP($A1546,BioTable,10,FALSE)=TRUE),0,VLOOKUP($A1546,BioTable,10,FALSE))</f>
      </c>
      <c r="K1546" s="1">
        <f>IF(ISERROR(VLOOKUP($A1546,BioTable,11,FALSE)=TRUE),0,VLOOKUP($A1546,BioTable,11,FALSE))</f>
      </c>
      <c r="L1546" s="1">
        <f>IF(ISERROR(VLOOKUP($A1546,BioTable,12,FALSE)=TRUE),0,VLOOKUP($A1546,BioTable,12,FALSE))</f>
      </c>
      <c r="M1546" s="1">
        <f>IF(ISERROR(VLOOKUP($A1546,BioTable,13,FALSE)=TRUE),0,VLOOKUP($A1546,BioTable,13,FALSE))</f>
      </c>
      <c r="N1546" s="1">
        <f>IF(ISERROR(VLOOKUP($A1546,BioTable,14,FALSE)=TRUE),0,VLOOKUP($A1546,BioTable,14,FALSE))</f>
      </c>
      <c r="O1546" s="1">
        <f>IF(ISERROR(VLOOKUP($A1546,BioTable,16,FALSE)=TRUE),0,VLOOKUP($A1546,BioTable,16,FALSE))</f>
      </c>
      <c r="P1546" s="1">
        <f>IF(ISERROR(VLOOKUP($A1546,BioTable,17,FALSE)=TRUE),0,VLOOKUP($A1546,BioTable,17,FALSE))</f>
      </c>
      <c r="Q1546" s="1">
        <f>IF(ISERROR(VLOOKUP($A1546,BioTable,18,FALSE)=TRUE),0,VLOOKUP($A1546,BioTable,18,FALSE))</f>
      </c>
      <c r="S1546" s="1">
        <f>IF(ISERROR(VLOOKUP($A1546,BioTable,19,FALSE)=TRUE),0,VLOOKUP($A1546,BioTable,19,FALSE))</f>
      </c>
      <c r="T1546" s="1">
        <f>IF(ISERROR(VLOOKUP($A1546,BioTable,20,FALSE)=TRUE),0,VLOOKUP($A1546,BioTable,20,FALSE))</f>
      </c>
      <c r="AA1546" s="1" t="str">
        <f>Sheet1!L157</f>
        <v>Standard</v>
      </c>
      <c r="AB1546" s="1">
        <f>IF(AA1546="Standard","",CONCATENATE(" (",AA1546,")"))</f>
      </c>
      <c r="AC1546" s="1" t="str">
        <f>IF(A1546=0,"",CONCATENATE(A1546,AB1546,CHAR(10)))</f>
        <v>Muscle Toner IV
</v>
      </c>
    </row>
    <row r="1547" spans="1:29" ht="10.5">
      <c r="A1547" s="1" t="str">
        <f>Sheet1!H158</f>
        <v>Synaptic Booster III</v>
      </c>
      <c r="F1547" s="1">
        <f>IF(ISERROR(VLOOKUP($A1547,BioTable,6,FALSE)=TRUE),0,VLOOKUP($A1547,BioTable,6,FALSE))</f>
      </c>
      <c r="G1547" s="1">
        <f>IF(ISERROR(VLOOKUP($A1547,BioTable,7,FALSE)=TRUE),0,VLOOKUP($A1547,BioTable,7,FALSE))</f>
      </c>
      <c r="H1547" s="1">
        <f>IF(ISERROR(VLOOKUP($A1547,BioTable,8,FALSE)=TRUE),0,VLOOKUP($A1547,BioTable,8,FALSE))</f>
        <v>3</v>
      </c>
      <c r="I1547" s="1">
        <f>IF(ISERROR(VLOOKUP($A1547,BioTable,9,FALSE)=TRUE),0,VLOOKUP($A1547,BioTable,9,FALSE))</f>
      </c>
      <c r="J1547" s="1">
        <f>IF(ISERROR(VLOOKUP($A1547,BioTable,10,FALSE)=TRUE),0,VLOOKUP($A1547,BioTable,10,FALSE))</f>
      </c>
      <c r="K1547" s="1">
        <f>IF(ISERROR(VLOOKUP($A1547,BioTable,11,FALSE)=TRUE),0,VLOOKUP($A1547,BioTable,11,FALSE))</f>
      </c>
      <c r="L1547" s="1">
        <f>IF(ISERROR(VLOOKUP($A1547,BioTable,12,FALSE)=TRUE),0,VLOOKUP($A1547,BioTable,12,FALSE))</f>
      </c>
      <c r="M1547" s="1">
        <f>IF(ISERROR(VLOOKUP($A1547,BioTable,13,FALSE)=TRUE),0,VLOOKUP($A1547,BioTable,13,FALSE))</f>
      </c>
      <c r="N1547" s="1">
        <f>IF(ISERROR(VLOOKUP($A1547,BioTable,14,FALSE)=TRUE),0,VLOOKUP($A1547,BioTable,14,FALSE))</f>
      </c>
      <c r="O1547" s="1">
        <f>IF(ISERROR(VLOOKUP($A1547,BioTable,16,FALSE)=TRUE),0,VLOOKUP($A1547,BioTable,16,FALSE))</f>
      </c>
      <c r="P1547" s="1">
        <f>IF(ISERROR(VLOOKUP($A1547,BioTable,17,FALSE)=TRUE),0,VLOOKUP($A1547,BioTable,17,FALSE))</f>
      </c>
      <c r="Q1547" s="1">
        <f>IF(ISERROR(VLOOKUP($A1547,BioTable,18,FALSE)=TRUE),0,VLOOKUP($A1547,BioTable,18,FALSE))</f>
        <v>3</v>
      </c>
      <c r="S1547" s="1">
        <f>IF(ISERROR(VLOOKUP($A1547,BioTable,19,FALSE)=TRUE),0,VLOOKUP($A1547,BioTable,19,FALSE))</f>
      </c>
      <c r="T1547" s="1">
        <f>IF(ISERROR(VLOOKUP($A1547,BioTable,20,FALSE)=TRUE),0,VLOOKUP($A1547,BioTable,20,FALSE))</f>
      </c>
      <c r="AA1547" s="1" t="str">
        <f>Sheet1!L158</f>
        <v>Standard</v>
      </c>
      <c r="AB1547" s="1">
        <f>IF(AA1547="Standard","",CONCATENATE(" (",AA1547,")"))</f>
      </c>
      <c r="AC1547" s="1" t="str">
        <f>IF(A1547=0,"",CONCATENATE(A1547,AB1547,CHAR(10)))</f>
        <v>Synaptic Booster III
</v>
      </c>
    </row>
    <row r="1548" spans="1:29" ht="10.5">
      <c r="A1548" s="1" t="str">
        <f>Sheet1!H159</f>
        <v>Cerebral Booster III</v>
      </c>
      <c r="F1548" s="1">
        <f>IF(ISERROR(VLOOKUP($A1548,BioTable,6,FALSE)=TRUE),0,VLOOKUP($A1548,BioTable,6,FALSE))</f>
      </c>
      <c r="G1548" s="1">
        <f>IF(ISERROR(VLOOKUP($A1548,BioTable,7,FALSE)=TRUE),0,VLOOKUP($A1548,BioTable,7,FALSE))</f>
      </c>
      <c r="H1548" s="1">
        <f>IF(ISERROR(VLOOKUP($A1548,BioTable,8,FALSE)=TRUE),0,VLOOKUP($A1548,BioTable,8,FALSE))</f>
      </c>
      <c r="I1548" s="1">
        <f>IF(ISERROR(VLOOKUP($A1548,BioTable,9,FALSE)=TRUE),0,VLOOKUP($A1548,BioTable,9,FALSE))</f>
      </c>
      <c r="J1548" s="1">
        <f>IF(ISERROR(VLOOKUP($A1548,BioTable,10,FALSE)=TRUE),0,VLOOKUP($A1548,BioTable,10,FALSE))</f>
      </c>
      <c r="K1548" s="1">
        <f>IF(ISERROR(VLOOKUP($A1548,BioTable,11,FALSE)=TRUE),0,VLOOKUP($A1548,BioTable,11,FALSE))</f>
      </c>
      <c r="L1548" s="1">
        <f>IF(ISERROR(VLOOKUP($A1548,BioTable,12,FALSE)=TRUE),0,VLOOKUP($A1548,BioTable,12,FALSE))</f>
        <v>3</v>
      </c>
      <c r="M1548" s="1">
        <f>IF(ISERROR(VLOOKUP($A1548,BioTable,13,FALSE)=TRUE),0,VLOOKUP($A1548,BioTable,13,FALSE))</f>
      </c>
      <c r="N1548" s="1">
        <f>IF(ISERROR(VLOOKUP($A1548,BioTable,14,FALSE)=TRUE),0,VLOOKUP($A1548,BioTable,14,FALSE))</f>
      </c>
      <c r="O1548" s="1">
        <f>IF(ISERROR(VLOOKUP($A1548,BioTable,16,FALSE)=TRUE),0,VLOOKUP($A1548,BioTable,16,FALSE))</f>
      </c>
      <c r="P1548" s="1">
        <f>IF(ISERROR(VLOOKUP($A1548,BioTable,17,FALSE)=TRUE),0,VLOOKUP($A1548,BioTable,17,FALSE))</f>
      </c>
      <c r="Q1548" s="1">
        <f>IF(ISERROR(VLOOKUP($A1548,BioTable,18,FALSE)=TRUE),0,VLOOKUP($A1548,BioTable,18,FALSE))</f>
      </c>
      <c r="S1548" s="1">
        <f>IF(ISERROR(VLOOKUP($A1548,BioTable,19,FALSE)=TRUE),0,VLOOKUP($A1548,BioTable,19,FALSE))</f>
      </c>
      <c r="T1548" s="1">
        <f>IF(ISERROR(VLOOKUP($A1548,BioTable,20,FALSE)=TRUE),0,VLOOKUP($A1548,BioTable,20,FALSE))</f>
      </c>
      <c r="AA1548" s="1" t="str">
        <f>Sheet1!L159</f>
        <v>Standard</v>
      </c>
      <c r="AB1548" s="1">
        <f>IF(AA1548="Standard","",CONCATENATE(" (",AA1548,")"))</f>
      </c>
      <c r="AC1548" s="1" t="str">
        <f>IF(A1548=0,"",CONCATENATE(A1548,AB1548,CHAR(10)))</f>
        <v>Cerebral Booster III
</v>
      </c>
    </row>
    <row r="1549" spans="1:29" ht="10.5">
      <c r="A1549" s="1">
        <f>Sheet1!H160</f>
        <v>0</v>
      </c>
      <c r="F1549" s="1">
        <f>IF(ISERROR(VLOOKUP($A1549,BioTable,6,FALSE)=TRUE),0,VLOOKUP($A1549,BioTable,6,FALSE))</f>
        <v>0</v>
      </c>
      <c r="G1549" s="1">
        <f>IF(ISERROR(VLOOKUP($A1549,BioTable,7,FALSE)=TRUE),0,VLOOKUP($A1549,BioTable,7,FALSE))</f>
        <v>0</v>
      </c>
      <c r="H1549" s="1">
        <f>IF(ISERROR(VLOOKUP($A1549,BioTable,8,FALSE)=TRUE),0,VLOOKUP($A1549,BioTable,8,FALSE))</f>
        <v>0</v>
      </c>
      <c r="I1549" s="1">
        <f>IF(ISERROR(VLOOKUP($A1549,BioTable,9,FALSE)=TRUE),0,VLOOKUP($A1549,BioTable,9,FALSE))</f>
        <v>0</v>
      </c>
      <c r="J1549" s="1">
        <f>IF(ISERROR(VLOOKUP($A1549,BioTable,10,FALSE)=TRUE),0,VLOOKUP($A1549,BioTable,10,FALSE))</f>
        <v>0</v>
      </c>
      <c r="K1549" s="1">
        <f>IF(ISERROR(VLOOKUP($A1549,BioTable,11,FALSE)=TRUE),0,VLOOKUP($A1549,BioTable,11,FALSE))</f>
        <v>0</v>
      </c>
      <c r="L1549" s="1">
        <f>IF(ISERROR(VLOOKUP($A1549,BioTable,12,FALSE)=TRUE),0,VLOOKUP($A1549,BioTable,12,FALSE))</f>
        <v>0</v>
      </c>
      <c r="M1549" s="1">
        <f>IF(ISERROR(VLOOKUP($A1549,BioTable,13,FALSE)=TRUE),0,VLOOKUP($A1549,BioTable,13,FALSE))</f>
        <v>0</v>
      </c>
      <c r="N1549" s="1">
        <f>IF(ISERROR(VLOOKUP($A1549,BioTable,14,FALSE)=TRUE),0,VLOOKUP($A1549,BioTable,14,FALSE))</f>
        <v>0</v>
      </c>
      <c r="O1549" s="1">
        <f>IF(ISERROR(VLOOKUP($A1549,BioTable,16,FALSE)=TRUE),0,VLOOKUP($A1549,BioTable,16,FALSE))</f>
        <v>0</v>
      </c>
      <c r="P1549" s="1">
        <f>IF(ISERROR(VLOOKUP($A1549,BioTable,17,FALSE)=TRUE),0,VLOOKUP($A1549,BioTable,17,FALSE))</f>
        <v>0</v>
      </c>
      <c r="Q1549" s="1">
        <f>IF(ISERROR(VLOOKUP($A1549,BioTable,18,FALSE)=TRUE),0,VLOOKUP($A1549,BioTable,18,FALSE))</f>
        <v>0</v>
      </c>
      <c r="S1549" s="1">
        <f>IF(ISERROR(VLOOKUP($A1549,BioTable,19,FALSE)=TRUE),0,VLOOKUP($A1549,BioTable,19,FALSE))</f>
        <v>0</v>
      </c>
      <c r="T1549" s="1">
        <f>IF(ISERROR(VLOOKUP($A1549,BioTable,20,FALSE)=TRUE),0,VLOOKUP($A1549,BioTable,20,FALSE))</f>
        <v>0</v>
      </c>
      <c r="AA1549" s="1" t="str">
        <f>Sheet1!L160</f>
        <v>Standard</v>
      </c>
      <c r="AB1549" s="1">
        <f>IF(AA1549="Standard","",CONCATENATE(" (",AA1549,")"))</f>
      </c>
      <c r="AC1549" s="1">
        <f>IF(A1549=0,"",CONCATENATE(A1549,AB1549,CHAR(10)))</f>
      </c>
    </row>
    <row r="1550" spans="1:29" ht="10.5">
      <c r="A1550" s="1">
        <f>Sheet1!H161</f>
        <v>0</v>
      </c>
      <c r="F1550" s="1">
        <f>IF(ISERROR(VLOOKUP($A1550,BioTable,6,FALSE)=TRUE),0,VLOOKUP($A1550,BioTable,6,FALSE))</f>
        <v>0</v>
      </c>
      <c r="G1550" s="1">
        <f>IF(ISERROR(VLOOKUP($A1550,BioTable,7,FALSE)=TRUE),0,VLOOKUP($A1550,BioTable,7,FALSE))</f>
        <v>0</v>
      </c>
      <c r="H1550" s="1">
        <f>IF(ISERROR(VLOOKUP($A1550,BioTable,8,FALSE)=TRUE),0,VLOOKUP($A1550,BioTable,8,FALSE))</f>
        <v>0</v>
      </c>
      <c r="I1550" s="1">
        <f>IF(ISERROR(VLOOKUP($A1550,BioTable,9,FALSE)=TRUE),0,VLOOKUP($A1550,BioTable,9,FALSE))</f>
        <v>0</v>
      </c>
      <c r="J1550" s="1">
        <f>IF(ISERROR(VLOOKUP($A1550,BioTable,10,FALSE)=TRUE),0,VLOOKUP($A1550,BioTable,10,FALSE))</f>
        <v>0</v>
      </c>
      <c r="K1550" s="1">
        <f>IF(ISERROR(VLOOKUP($A1550,BioTable,11,FALSE)=TRUE),0,VLOOKUP($A1550,BioTable,11,FALSE))</f>
        <v>0</v>
      </c>
      <c r="L1550" s="1">
        <f>IF(ISERROR(VLOOKUP($A1550,BioTable,12,FALSE)=TRUE),0,VLOOKUP($A1550,BioTable,12,FALSE))</f>
        <v>0</v>
      </c>
      <c r="M1550" s="1">
        <f>IF(ISERROR(VLOOKUP($A1550,BioTable,13,FALSE)=TRUE),0,VLOOKUP($A1550,BioTable,13,FALSE))</f>
        <v>0</v>
      </c>
      <c r="N1550" s="1">
        <f>IF(ISERROR(VLOOKUP($A1550,BioTable,14,FALSE)=TRUE),0,VLOOKUP($A1550,BioTable,14,FALSE))</f>
        <v>0</v>
      </c>
      <c r="O1550" s="1">
        <f>IF(ISERROR(VLOOKUP($A1550,BioTable,16,FALSE)=TRUE),0,VLOOKUP($A1550,BioTable,16,FALSE))</f>
        <v>0</v>
      </c>
      <c r="P1550" s="1">
        <f>IF(ISERROR(VLOOKUP($A1550,BioTable,17,FALSE)=TRUE),0,VLOOKUP($A1550,BioTable,17,FALSE))</f>
        <v>0</v>
      </c>
      <c r="Q1550" s="1">
        <f>IF(ISERROR(VLOOKUP($A1550,BioTable,18,FALSE)=TRUE),0,VLOOKUP($A1550,BioTable,18,FALSE))</f>
        <v>0</v>
      </c>
      <c r="S1550" s="1">
        <f>IF(ISERROR(VLOOKUP($A1550,BioTable,19,FALSE)=TRUE),0,VLOOKUP($A1550,BioTable,19,FALSE))</f>
        <v>0</v>
      </c>
      <c r="T1550" s="1">
        <f>IF(ISERROR(VLOOKUP($A1550,BioTable,20,FALSE)=TRUE),0,VLOOKUP($A1550,BioTable,20,FALSE))</f>
        <v>0</v>
      </c>
      <c r="AA1550" s="1" t="str">
        <f>Sheet1!L161</f>
        <v>Standard</v>
      </c>
      <c r="AB1550" s="1">
        <f>IF(AA1550="Standard","",CONCATENATE(" (",AA1550,")"))</f>
      </c>
      <c r="AC1550" s="1">
        <f>IF(A1550=0,"",CONCATENATE(A1550,AB1550,CHAR(10)))</f>
      </c>
    </row>
    <row r="1551" spans="1:29" ht="10.5">
      <c r="A1551" s="1">
        <f>Sheet1!H162</f>
        <v>0</v>
      </c>
      <c r="F1551" s="1">
        <f>IF(ISERROR(VLOOKUP($A1551,BioTable,6,FALSE)=TRUE),0,VLOOKUP($A1551,BioTable,6,FALSE))</f>
        <v>0</v>
      </c>
      <c r="G1551" s="1">
        <f>IF(ISERROR(VLOOKUP($A1551,BioTable,7,FALSE)=TRUE),0,VLOOKUP($A1551,BioTable,7,FALSE))</f>
        <v>0</v>
      </c>
      <c r="H1551" s="1">
        <f>IF(ISERROR(VLOOKUP($A1551,BioTable,8,FALSE)=TRUE),0,VLOOKUP($A1551,BioTable,8,FALSE))</f>
        <v>0</v>
      </c>
      <c r="I1551" s="1">
        <f>IF(ISERROR(VLOOKUP($A1551,BioTable,9,FALSE)=TRUE),0,VLOOKUP($A1551,BioTable,9,FALSE))</f>
        <v>0</v>
      </c>
      <c r="J1551" s="1">
        <f>IF(ISERROR(VLOOKUP($A1551,BioTable,10,FALSE)=TRUE),0,VLOOKUP($A1551,BioTable,10,FALSE))</f>
        <v>0</v>
      </c>
      <c r="K1551" s="1">
        <f>IF(ISERROR(VLOOKUP($A1551,BioTable,11,FALSE)=TRUE),0,VLOOKUP($A1551,BioTable,11,FALSE))</f>
        <v>0</v>
      </c>
      <c r="L1551" s="1">
        <f>IF(ISERROR(VLOOKUP($A1551,BioTable,12,FALSE)=TRUE),0,VLOOKUP($A1551,BioTable,12,FALSE))</f>
        <v>0</v>
      </c>
      <c r="M1551" s="1">
        <f>IF(ISERROR(VLOOKUP($A1551,BioTable,13,FALSE)=TRUE),0,VLOOKUP($A1551,BioTable,13,FALSE))</f>
        <v>0</v>
      </c>
      <c r="N1551" s="1">
        <f>IF(ISERROR(VLOOKUP($A1551,BioTable,14,FALSE)=TRUE),0,VLOOKUP($A1551,BioTable,14,FALSE))</f>
        <v>0</v>
      </c>
      <c r="O1551" s="1">
        <f>IF(ISERROR(VLOOKUP($A1551,BioTable,16,FALSE)=TRUE),0,VLOOKUP($A1551,BioTable,16,FALSE))</f>
        <v>0</v>
      </c>
      <c r="P1551" s="1">
        <f>IF(ISERROR(VLOOKUP($A1551,BioTable,17,FALSE)=TRUE),0,VLOOKUP($A1551,BioTable,17,FALSE))</f>
        <v>0</v>
      </c>
      <c r="Q1551" s="1">
        <f>IF(ISERROR(VLOOKUP($A1551,BioTable,18,FALSE)=TRUE),0,VLOOKUP($A1551,BioTable,18,FALSE))</f>
        <v>0</v>
      </c>
      <c r="S1551" s="1">
        <f>IF(ISERROR(VLOOKUP($A1551,BioTable,19,FALSE)=TRUE),0,VLOOKUP($A1551,BioTable,19,FALSE))</f>
        <v>0</v>
      </c>
      <c r="T1551" s="1">
        <f>IF(ISERROR(VLOOKUP($A1551,BioTable,20,FALSE)=TRUE),0,VLOOKUP($A1551,BioTable,20,FALSE))</f>
        <v>0</v>
      </c>
      <c r="AA1551" s="1" t="str">
        <f>Sheet1!L162</f>
        <v>Standard</v>
      </c>
      <c r="AB1551" s="1">
        <f>IF(AA1551="Standard","",CONCATENATE(" (",AA1551,")"))</f>
      </c>
      <c r="AC1551" s="1">
        <f>IF(A1551=0,"",CONCATENATE(A1551,AB1551,CHAR(10)))</f>
      </c>
    </row>
    <row r="1552" spans="1:29" ht="10.5">
      <c r="A1552" s="1">
        <f>Sheet1!H163</f>
        <v>0</v>
      </c>
      <c r="F1552" s="1">
        <f>IF(ISERROR(VLOOKUP($A1552,BioTable,6,FALSE)=TRUE),0,VLOOKUP($A1552,BioTable,6,FALSE))</f>
        <v>0</v>
      </c>
      <c r="G1552" s="1">
        <f>IF(ISERROR(VLOOKUP($A1552,BioTable,7,FALSE)=TRUE),0,VLOOKUP($A1552,BioTable,7,FALSE))</f>
        <v>0</v>
      </c>
      <c r="H1552" s="1">
        <f>IF(ISERROR(VLOOKUP($A1552,BioTable,8,FALSE)=TRUE),0,VLOOKUP($A1552,BioTable,8,FALSE))</f>
        <v>0</v>
      </c>
      <c r="I1552" s="1">
        <f>IF(ISERROR(VLOOKUP($A1552,BioTable,9,FALSE)=TRUE),0,VLOOKUP($A1552,BioTable,9,FALSE))</f>
        <v>0</v>
      </c>
      <c r="J1552" s="1">
        <f>IF(ISERROR(VLOOKUP($A1552,BioTable,10,FALSE)=TRUE),0,VLOOKUP($A1552,BioTable,10,FALSE))</f>
        <v>0</v>
      </c>
      <c r="K1552" s="1">
        <f>IF(ISERROR(VLOOKUP($A1552,BioTable,11,FALSE)=TRUE),0,VLOOKUP($A1552,BioTable,11,FALSE))</f>
        <v>0</v>
      </c>
      <c r="L1552" s="1">
        <f>IF(ISERROR(VLOOKUP($A1552,BioTable,12,FALSE)=TRUE),0,VLOOKUP($A1552,BioTable,12,FALSE))</f>
        <v>0</v>
      </c>
      <c r="M1552" s="1">
        <f>IF(ISERROR(VLOOKUP($A1552,BioTable,13,FALSE)=TRUE),0,VLOOKUP($A1552,BioTable,13,FALSE))</f>
        <v>0</v>
      </c>
      <c r="N1552" s="1">
        <f>IF(ISERROR(VLOOKUP($A1552,BioTable,14,FALSE)=TRUE),0,VLOOKUP($A1552,BioTable,14,FALSE))</f>
        <v>0</v>
      </c>
      <c r="O1552" s="1">
        <f>IF(ISERROR(VLOOKUP($A1552,BioTable,16,FALSE)=TRUE),0,VLOOKUP($A1552,BioTable,16,FALSE))</f>
        <v>0</v>
      </c>
      <c r="P1552" s="1">
        <f>IF(ISERROR(VLOOKUP($A1552,BioTable,17,FALSE)=TRUE),0,VLOOKUP($A1552,BioTable,17,FALSE))</f>
        <v>0</v>
      </c>
      <c r="Q1552" s="1">
        <f>IF(ISERROR(VLOOKUP($A1552,BioTable,18,FALSE)=TRUE),0,VLOOKUP($A1552,BioTable,18,FALSE))</f>
        <v>0</v>
      </c>
      <c r="S1552" s="1">
        <f>IF(ISERROR(VLOOKUP($A1552,BioTable,19,FALSE)=TRUE),0,VLOOKUP($A1552,BioTable,19,FALSE))</f>
        <v>0</v>
      </c>
      <c r="T1552" s="1">
        <f>IF(ISERROR(VLOOKUP($A1552,BioTable,20,FALSE)=TRUE),0,VLOOKUP($A1552,BioTable,20,FALSE))</f>
        <v>0</v>
      </c>
      <c r="AA1552" s="1" t="str">
        <f>Sheet1!L163</f>
        <v>Standard</v>
      </c>
      <c r="AB1552" s="1">
        <f>IF(AA1552="Standard","",CONCATENATE(" (",AA1552,")"))</f>
      </c>
      <c r="AC1552" s="1">
        <f>IF(A1552=0,"",CONCATENATE(A1552,AB1552,CHAR(10)))</f>
      </c>
    </row>
    <row r="1553" spans="1:29" ht="10.5">
      <c r="A1553" s="1">
        <f>Sheet1!H164</f>
        <v>0</v>
      </c>
      <c r="F1553" s="1">
        <f>IF(ISERROR(VLOOKUP($A1553,BioTable,6,FALSE)=TRUE),0,VLOOKUP($A1553,BioTable,6,FALSE))</f>
        <v>0</v>
      </c>
      <c r="G1553" s="1">
        <f>IF(ISERROR(VLOOKUP($A1553,BioTable,7,FALSE)=TRUE),0,VLOOKUP($A1553,BioTable,7,FALSE))</f>
        <v>0</v>
      </c>
      <c r="H1553" s="1">
        <f>IF(ISERROR(VLOOKUP($A1553,BioTable,8,FALSE)=TRUE),0,VLOOKUP($A1553,BioTable,8,FALSE))</f>
        <v>0</v>
      </c>
      <c r="I1553" s="1">
        <f>IF(ISERROR(VLOOKUP($A1553,BioTable,9,FALSE)=TRUE),0,VLOOKUP($A1553,BioTable,9,FALSE))</f>
        <v>0</v>
      </c>
      <c r="J1553" s="1">
        <f>IF(ISERROR(VLOOKUP($A1553,BioTable,10,FALSE)=TRUE),0,VLOOKUP($A1553,BioTable,10,FALSE))</f>
        <v>0</v>
      </c>
      <c r="K1553" s="1">
        <f>IF(ISERROR(VLOOKUP($A1553,BioTable,11,FALSE)=TRUE),0,VLOOKUP($A1553,BioTable,11,FALSE))</f>
        <v>0</v>
      </c>
      <c r="L1553" s="1">
        <f>IF(ISERROR(VLOOKUP($A1553,BioTable,12,FALSE)=TRUE),0,VLOOKUP($A1553,BioTable,12,FALSE))</f>
        <v>0</v>
      </c>
      <c r="M1553" s="1">
        <f>IF(ISERROR(VLOOKUP($A1553,BioTable,13,FALSE)=TRUE),0,VLOOKUP($A1553,BioTable,13,FALSE))</f>
        <v>0</v>
      </c>
      <c r="N1553" s="1">
        <f>IF(ISERROR(VLOOKUP($A1553,BioTable,14,FALSE)=TRUE),0,VLOOKUP($A1553,BioTable,14,FALSE))</f>
        <v>0</v>
      </c>
      <c r="O1553" s="1">
        <f>IF(ISERROR(VLOOKUP($A1553,BioTable,16,FALSE)=TRUE),0,VLOOKUP($A1553,BioTable,16,FALSE))</f>
        <v>0</v>
      </c>
      <c r="P1553" s="1">
        <f>IF(ISERROR(VLOOKUP($A1553,BioTable,17,FALSE)=TRUE),0,VLOOKUP($A1553,BioTable,17,FALSE))</f>
        <v>0</v>
      </c>
      <c r="Q1553" s="1">
        <f>IF(ISERROR(VLOOKUP($A1553,BioTable,18,FALSE)=TRUE),0,VLOOKUP($A1553,BioTable,18,FALSE))</f>
        <v>0</v>
      </c>
      <c r="S1553" s="1">
        <f>IF(ISERROR(VLOOKUP($A1553,BioTable,19,FALSE)=TRUE),0,VLOOKUP($A1553,BioTable,19,FALSE))</f>
        <v>0</v>
      </c>
      <c r="T1553" s="1">
        <f>IF(ISERROR(VLOOKUP($A1553,BioTable,20,FALSE)=TRUE),0,VLOOKUP($A1553,BioTable,20,FALSE))</f>
        <v>0</v>
      </c>
      <c r="AA1553" s="1" t="str">
        <f>Sheet1!L164</f>
        <v>Standard</v>
      </c>
      <c r="AB1553" s="1">
        <f>IF(AA1553="Standard","",CONCATENATE(" (",AA1553,")"))</f>
      </c>
      <c r="AC1553" s="1">
        <f>IF(A1553=0,"",CONCATENATE(A1553,AB1553,CHAR(10)))</f>
      </c>
    </row>
    <row r="1554" spans="1:29" ht="10.5">
      <c r="A1554" s="1">
        <f>Sheet1!H165</f>
        <v>0</v>
      </c>
      <c r="F1554" s="1">
        <f>IF(ISERROR(VLOOKUP($A1554,BioTable,6,FALSE)=TRUE),0,VLOOKUP($A1554,BioTable,6,FALSE))</f>
        <v>0</v>
      </c>
      <c r="G1554" s="1">
        <f>IF(ISERROR(VLOOKUP($A1554,BioTable,7,FALSE)=TRUE),0,VLOOKUP($A1554,BioTable,7,FALSE))</f>
        <v>0</v>
      </c>
      <c r="H1554" s="1">
        <f>IF(ISERROR(VLOOKUP($A1554,BioTable,8,FALSE)=TRUE),0,VLOOKUP($A1554,BioTable,8,FALSE))</f>
        <v>0</v>
      </c>
      <c r="I1554" s="1">
        <f>IF(ISERROR(VLOOKUP($A1554,BioTable,9,FALSE)=TRUE),0,VLOOKUP($A1554,BioTable,9,FALSE))</f>
        <v>0</v>
      </c>
      <c r="J1554" s="1">
        <f>IF(ISERROR(VLOOKUP($A1554,BioTable,10,FALSE)=TRUE),0,VLOOKUP($A1554,BioTable,10,FALSE))</f>
        <v>0</v>
      </c>
      <c r="K1554" s="1">
        <f>IF(ISERROR(VLOOKUP($A1554,BioTable,11,FALSE)=TRUE),0,VLOOKUP($A1554,BioTable,11,FALSE))</f>
        <v>0</v>
      </c>
      <c r="L1554" s="1">
        <f>IF(ISERROR(VLOOKUP($A1554,BioTable,12,FALSE)=TRUE),0,VLOOKUP($A1554,BioTable,12,FALSE))</f>
        <v>0</v>
      </c>
      <c r="M1554" s="1">
        <f>IF(ISERROR(VLOOKUP($A1554,BioTable,13,FALSE)=TRUE),0,VLOOKUP($A1554,BioTable,13,FALSE))</f>
        <v>0</v>
      </c>
      <c r="N1554" s="1">
        <f>IF(ISERROR(VLOOKUP($A1554,BioTable,14,FALSE)=TRUE),0,VLOOKUP($A1554,BioTable,14,FALSE))</f>
        <v>0</v>
      </c>
      <c r="O1554" s="1">
        <f>IF(ISERROR(VLOOKUP($A1554,BioTable,16,FALSE)=TRUE),0,VLOOKUP($A1554,BioTable,16,FALSE))</f>
        <v>0</v>
      </c>
      <c r="P1554" s="1">
        <f>IF(ISERROR(VLOOKUP($A1554,BioTable,17,FALSE)=TRUE),0,VLOOKUP($A1554,BioTable,17,FALSE))</f>
        <v>0</v>
      </c>
      <c r="Q1554" s="1">
        <f>IF(ISERROR(VLOOKUP($A1554,BioTable,18,FALSE)=TRUE),0,VLOOKUP($A1554,BioTable,18,FALSE))</f>
        <v>0</v>
      </c>
      <c r="S1554" s="1">
        <f>IF(ISERROR(VLOOKUP($A1554,BioTable,19,FALSE)=TRUE),0,VLOOKUP($A1554,BioTable,19,FALSE))</f>
        <v>0</v>
      </c>
      <c r="T1554" s="1">
        <f>IF(ISERROR(VLOOKUP($A1554,BioTable,20,FALSE)=TRUE),0,VLOOKUP($A1554,BioTable,20,FALSE))</f>
        <v>0</v>
      </c>
      <c r="AA1554" s="1" t="str">
        <f>Sheet1!L165</f>
        <v>Standard</v>
      </c>
      <c r="AB1554" s="1">
        <f>IF(AA1554="Standard","",CONCATENATE(" (",AA1554,")"))</f>
      </c>
      <c r="AC1554" s="1">
        <f>IF(A1554=0,"",CONCATENATE(A1554,AB1554,CHAR(10)))</f>
      </c>
    </row>
    <row r="1555" spans="1:29" ht="10.5">
      <c r="A1555" s="1">
        <f>Sheet1!H166</f>
        <v>0</v>
      </c>
      <c r="F1555" s="1">
        <f>IF(ISERROR(VLOOKUP($A1555,BioTable,6,FALSE)=TRUE),0,VLOOKUP($A1555,BioTable,6,FALSE))</f>
        <v>0</v>
      </c>
      <c r="G1555" s="1">
        <f>IF(ISERROR(VLOOKUP($A1555,BioTable,7,FALSE)=TRUE),0,VLOOKUP($A1555,BioTable,7,FALSE))</f>
        <v>0</v>
      </c>
      <c r="H1555" s="1">
        <f>IF(ISERROR(VLOOKUP($A1555,BioTable,8,FALSE)=TRUE),0,VLOOKUP($A1555,BioTable,8,FALSE))</f>
        <v>0</v>
      </c>
      <c r="I1555" s="1">
        <f>IF(ISERROR(VLOOKUP($A1555,BioTable,9,FALSE)=TRUE),0,VLOOKUP($A1555,BioTable,9,FALSE))</f>
        <v>0</v>
      </c>
      <c r="J1555" s="1">
        <f>IF(ISERROR(VLOOKUP($A1555,BioTable,10,FALSE)=TRUE),0,VLOOKUP($A1555,BioTable,10,FALSE))</f>
        <v>0</v>
      </c>
      <c r="K1555" s="1">
        <f>IF(ISERROR(VLOOKUP($A1555,BioTable,11,FALSE)=TRUE),0,VLOOKUP($A1555,BioTable,11,FALSE))</f>
        <v>0</v>
      </c>
      <c r="L1555" s="1">
        <f>IF(ISERROR(VLOOKUP($A1555,BioTable,12,FALSE)=TRUE),0,VLOOKUP($A1555,BioTable,12,FALSE))</f>
        <v>0</v>
      </c>
      <c r="M1555" s="1">
        <f>IF(ISERROR(VLOOKUP($A1555,BioTable,13,FALSE)=TRUE),0,VLOOKUP($A1555,BioTable,13,FALSE))</f>
        <v>0</v>
      </c>
      <c r="N1555" s="1">
        <f>IF(ISERROR(VLOOKUP($A1555,BioTable,14,FALSE)=TRUE),0,VLOOKUP($A1555,BioTable,14,FALSE))</f>
        <v>0</v>
      </c>
      <c r="O1555" s="1">
        <f>IF(ISERROR(VLOOKUP($A1555,BioTable,16,FALSE)=TRUE),0,VLOOKUP($A1555,BioTable,16,FALSE))</f>
        <v>0</v>
      </c>
      <c r="P1555" s="1">
        <f>IF(ISERROR(VLOOKUP($A1555,BioTable,17,FALSE)=TRUE),0,VLOOKUP($A1555,BioTable,17,FALSE))</f>
        <v>0</v>
      </c>
      <c r="Q1555" s="1">
        <f>IF(ISERROR(VLOOKUP($A1555,BioTable,18,FALSE)=TRUE),0,VLOOKUP($A1555,BioTable,18,FALSE))</f>
        <v>0</v>
      </c>
      <c r="S1555" s="1">
        <f>IF(ISERROR(VLOOKUP($A1555,BioTable,19,FALSE)=TRUE),0,VLOOKUP($A1555,BioTable,19,FALSE))</f>
        <v>0</v>
      </c>
      <c r="T1555" s="1">
        <f>IF(ISERROR(VLOOKUP($A1555,BioTable,20,FALSE)=TRUE),0,VLOOKUP($A1555,BioTable,20,FALSE))</f>
        <v>0</v>
      </c>
      <c r="AA1555" s="1" t="str">
        <f>Sheet1!L166</f>
        <v>Standard</v>
      </c>
      <c r="AB1555" s="1">
        <f>IF(AA1555="Standard","",CONCATENATE(" (",AA1555,")"))</f>
      </c>
      <c r="AC1555" s="1">
        <f>IF(A1555=0,"",CONCATENATE(A1555,AB1555,CHAR(10)))</f>
      </c>
    </row>
    <row r="1556" spans="19:20" ht="10.5">
      <c r="S1556" s="1">
        <f>SUM(S1544:S1555)</f>
        <v>0</v>
      </c>
      <c r="T1556" s="1">
        <f>SUM(T1531:T1555)</f>
        <v>1</v>
      </c>
    </row>
    <row r="1558" spans="5:29" ht="10.5">
      <c r="E1558" s="1" t="s">
        <v>1346</v>
      </c>
      <c r="F1558" s="1">
        <f>SUM(F1531:F1557)</f>
        <v>1</v>
      </c>
      <c r="G1558" s="1">
        <f>SUM(G1531:G1557)</f>
        <v>5</v>
      </c>
      <c r="H1558" s="1">
        <f>SUM(H1531:H1557)</f>
        <v>4</v>
      </c>
      <c r="I1558" s="1">
        <f>SUM(I1531:I1557)</f>
        <v>5</v>
      </c>
      <c r="J1558" s="1">
        <f>SUM(J1531:J1557)</f>
        <v>0</v>
      </c>
      <c r="K1558" s="1">
        <f>SUM(K1531:K1557)</f>
        <v>0</v>
      </c>
      <c r="L1558" s="1">
        <f>SUM(L1531:L1557)</f>
        <v>3</v>
      </c>
      <c r="M1558" s="1">
        <f>SUM(M1531:M1557)</f>
        <v>0</v>
      </c>
      <c r="N1558" s="1">
        <f>SUM(N1531:N1557)</f>
        <v>3</v>
      </c>
      <c r="O1558" s="1">
        <f>SUM(O1531:O1557)</f>
        <v>1</v>
      </c>
      <c r="P1558" s="1">
        <f>SUM(P1531:P1557)</f>
        <v>1</v>
      </c>
      <c r="Q1558" s="1">
        <f>SUM(Q1531:Q1557)</f>
        <v>3</v>
      </c>
      <c r="AC1558" s="1" t="str">
        <f>CONCATENATE(AC1531,AC1532,AC1533,AC1534,AC1535,AC1536,AC1537,AC1538,AC1539,AC1540,AC1541,AC1542)</f>
        <v>Skillwires V
Bone Lacing, Titanium
</v>
      </c>
    </row>
    <row r="1559" ht="10.5">
      <c r="AC1559" s="1" t="str">
        <f>CONCATENATE(AC1544,AC1545,AC1546,AC1547,AC1548,AC1549,AC1550,AC1551,AC1552,AC1553,AC1554,AC1555)</f>
        <v>Suprathyroid Gland
Muscle Augmentation IV
Muscle Toner IV
Synaptic Booster III
Cerebral Booster III
</v>
      </c>
    </row>
    <row r="1560" spans="1:29" ht="10.5">
      <c r="A1560" s="4" t="s">
        <v>173</v>
      </c>
      <c r="B1560" s="4" t="s">
        <v>174</v>
      </c>
      <c r="C1560" s="4" t="s">
        <v>1347</v>
      </c>
      <c r="D1560" s="4" t="s">
        <v>675</v>
      </c>
      <c r="E1560" s="4" t="s">
        <v>5</v>
      </c>
      <c r="F1560" s="4" t="s">
        <v>22</v>
      </c>
      <c r="G1560" s="4" t="s">
        <v>561</v>
      </c>
      <c r="H1560" s="4" t="s">
        <v>562</v>
      </c>
      <c r="I1560" s="4" t="s">
        <v>563</v>
      </c>
      <c r="J1560" s="4" t="s">
        <v>564</v>
      </c>
      <c r="K1560" s="4" t="s">
        <v>565</v>
      </c>
      <c r="L1560" s="4" t="s">
        <v>566</v>
      </c>
      <c r="M1560" s="4" t="s">
        <v>567</v>
      </c>
      <c r="N1560" s="4" t="s">
        <v>568</v>
      </c>
      <c r="P1560" s="4" t="s">
        <v>1348</v>
      </c>
      <c r="Q1560" s="4" t="s">
        <v>570</v>
      </c>
      <c r="R1560" s="4" t="s">
        <v>571</v>
      </c>
      <c r="S1560" s="4" t="s">
        <v>1349</v>
      </c>
      <c r="T1560" s="4" t="s">
        <v>928</v>
      </c>
      <c r="AC1560" s="1" t="str">
        <f>CONCATENATE(AC1558,AC1559)</f>
        <v>Skillwires V
Bone Lacing, Titanium
Suprathyroid Gland
Muscle Augmentation IV
Muscle Toner IV
Synaptic Booster III
Cerebral Booster III
</v>
      </c>
    </row>
    <row r="1561" spans="1:5" ht="10.5">
      <c r="A1561" s="1" t="s">
        <v>1350</v>
      </c>
      <c r="E1561" s="63"/>
    </row>
    <row r="1562" spans="1:5" ht="10.5">
      <c r="A1562" s="1" t="s">
        <v>1351</v>
      </c>
      <c r="B1562" s="1">
        <v>0.2</v>
      </c>
      <c r="C1562" s="1">
        <v>2</v>
      </c>
      <c r="E1562" s="63">
        <v>2000</v>
      </c>
    </row>
    <row r="1563" spans="1:5" ht="10.5">
      <c r="A1563" s="1" t="s">
        <v>1352</v>
      </c>
      <c r="B1563" s="1">
        <v>0.5</v>
      </c>
      <c r="D1563" s="1">
        <v>8</v>
      </c>
      <c r="E1563" s="63">
        <v>10000</v>
      </c>
    </row>
    <row r="1564" spans="1:5" ht="10.5">
      <c r="A1564" s="1" t="s">
        <v>1353</v>
      </c>
      <c r="C1564" s="1">
        <v>1</v>
      </c>
      <c r="D1564" s="1" t="s">
        <v>850</v>
      </c>
      <c r="E1564" s="63">
        <v>2000</v>
      </c>
    </row>
    <row r="1565" spans="1:5" ht="10.5">
      <c r="A1565" s="1" t="s">
        <v>1354</v>
      </c>
      <c r="C1565" s="1">
        <v>2</v>
      </c>
      <c r="D1565" s="1" t="s">
        <v>850</v>
      </c>
      <c r="E1565" s="63">
        <v>5000</v>
      </c>
    </row>
    <row r="1566" spans="1:5" ht="10.5">
      <c r="A1566" s="1" t="s">
        <v>1355</v>
      </c>
      <c r="C1566" s="1">
        <v>3</v>
      </c>
      <c r="D1566" s="1" t="s">
        <v>881</v>
      </c>
      <c r="E1566" s="63">
        <v>10000</v>
      </c>
    </row>
    <row r="1567" spans="1:5" ht="10.5">
      <c r="A1567" s="1" t="s">
        <v>1356</v>
      </c>
      <c r="B1567" s="1">
        <v>0.1</v>
      </c>
      <c r="C1567" s="1">
        <v>1</v>
      </c>
      <c r="E1567" s="63">
        <v>500</v>
      </c>
    </row>
    <row r="1568" spans="1:5" ht="10.5">
      <c r="A1568" s="1" t="s">
        <v>1357</v>
      </c>
      <c r="B1568" s="1">
        <v>0.1</v>
      </c>
      <c r="C1568" s="1">
        <v>1</v>
      </c>
      <c r="D1568" s="1">
        <v>12</v>
      </c>
      <c r="E1568" s="63">
        <v>1000</v>
      </c>
    </row>
    <row r="1569" spans="1:5" ht="10.5">
      <c r="A1569" s="1" t="s">
        <v>1358</v>
      </c>
      <c r="B1569" s="1">
        <v>0.2</v>
      </c>
      <c r="C1569" s="1">
        <v>2</v>
      </c>
      <c r="D1569" s="1">
        <v>4</v>
      </c>
      <c r="E1569" s="63">
        <v>1000</v>
      </c>
    </row>
    <row r="1570" spans="1:5" ht="10.5">
      <c r="A1570" s="1" t="s">
        <v>1359</v>
      </c>
      <c r="B1570" s="1">
        <v>0.2</v>
      </c>
      <c r="C1570" s="1">
        <v>2</v>
      </c>
      <c r="D1570" s="1">
        <v>8</v>
      </c>
      <c r="E1570" s="63">
        <v>2000</v>
      </c>
    </row>
    <row r="1571" spans="1:5" ht="10.5">
      <c r="A1571" s="1" t="s">
        <v>1360</v>
      </c>
      <c r="B1571" s="1">
        <v>0.2</v>
      </c>
      <c r="C1571" s="1">
        <v>2</v>
      </c>
      <c r="D1571" s="1">
        <v>12</v>
      </c>
      <c r="E1571" s="63">
        <v>3000</v>
      </c>
    </row>
    <row r="1572" spans="1:5" ht="10.5">
      <c r="A1572" s="1" t="s">
        <v>1361</v>
      </c>
      <c r="B1572" s="1">
        <v>0.2</v>
      </c>
      <c r="C1572" s="1">
        <v>2</v>
      </c>
      <c r="D1572" s="1">
        <v>16</v>
      </c>
      <c r="E1572" s="63">
        <v>4000</v>
      </c>
    </row>
    <row r="1573" spans="1:5" ht="10.5">
      <c r="A1573" s="1" t="s">
        <v>1362</v>
      </c>
      <c r="B1573" s="1">
        <v>0.2</v>
      </c>
      <c r="C1573" s="1">
        <v>2</v>
      </c>
      <c r="D1573" s="1">
        <v>20</v>
      </c>
      <c r="E1573" s="63">
        <v>5000</v>
      </c>
    </row>
    <row r="1574" spans="1:5" ht="10.5">
      <c r="A1574" s="1" t="s">
        <v>1363</v>
      </c>
      <c r="B1574" s="1">
        <v>0.2</v>
      </c>
      <c r="C1574" s="1">
        <v>2</v>
      </c>
      <c r="D1574" s="1">
        <v>24</v>
      </c>
      <c r="E1574" s="63">
        <v>6000</v>
      </c>
    </row>
    <row r="1575" spans="1:5" ht="10.5">
      <c r="A1575" s="1" t="s">
        <v>1036</v>
      </c>
      <c r="B1575" s="1">
        <v>0.2</v>
      </c>
      <c r="C1575" s="1">
        <v>2</v>
      </c>
      <c r="E1575" s="63">
        <v>2000</v>
      </c>
    </row>
    <row r="1576" spans="1:5" ht="10.5">
      <c r="A1576" s="1" t="s">
        <v>1364</v>
      </c>
      <c r="B1576" s="1">
        <v>0.2</v>
      </c>
      <c r="C1576" s="1">
        <v>2</v>
      </c>
      <c r="D1576" s="1" t="s">
        <v>657</v>
      </c>
      <c r="E1576" s="63">
        <v>5000</v>
      </c>
    </row>
    <row r="1577" spans="1:5" ht="10.5">
      <c r="A1577" s="1" t="s">
        <v>1365</v>
      </c>
      <c r="D1577" s="1">
        <v>8</v>
      </c>
      <c r="E1577" s="63">
        <v>200</v>
      </c>
    </row>
    <row r="1578" spans="1:5" ht="10.5">
      <c r="A1578" s="1" t="s">
        <v>1366</v>
      </c>
      <c r="D1578" s="1">
        <v>12</v>
      </c>
      <c r="E1578" s="63">
        <v>500</v>
      </c>
    </row>
    <row r="1579" spans="1:5" ht="10.5">
      <c r="A1579" s="1" t="s">
        <v>1367</v>
      </c>
      <c r="B1579" s="1">
        <v>0.3</v>
      </c>
      <c r="C1579" s="1">
        <v>2</v>
      </c>
      <c r="D1579" s="1">
        <v>10</v>
      </c>
      <c r="E1579" s="63">
        <v>6000</v>
      </c>
    </row>
    <row r="1580" spans="1:5" ht="10.5">
      <c r="A1580" s="1" t="s">
        <v>1368</v>
      </c>
      <c r="B1580" s="1">
        <v>0.2</v>
      </c>
      <c r="D1580" s="1">
        <v>4</v>
      </c>
      <c r="E1580" s="63">
        <v>7500</v>
      </c>
    </row>
    <row r="1581" spans="1:5" ht="10.5">
      <c r="A1581" s="1" t="s">
        <v>1369</v>
      </c>
      <c r="D1581" s="1" t="s">
        <v>1057</v>
      </c>
      <c r="E1581" s="63">
        <v>5000</v>
      </c>
    </row>
    <row r="1582" spans="1:5" ht="10.5">
      <c r="A1582" s="1" t="s">
        <v>1370</v>
      </c>
      <c r="D1582" s="1" t="s">
        <v>1059</v>
      </c>
      <c r="E1582" s="63">
        <v>10000</v>
      </c>
    </row>
    <row r="1583" spans="1:5" ht="10.5">
      <c r="A1583" s="1" t="s">
        <v>1371</v>
      </c>
      <c r="D1583" s="1" t="s">
        <v>1061</v>
      </c>
      <c r="E1583" s="63">
        <v>15000</v>
      </c>
    </row>
    <row r="1584" spans="1:5" ht="10.5">
      <c r="A1584" s="1" t="s">
        <v>1372</v>
      </c>
      <c r="D1584" s="1" t="s">
        <v>657</v>
      </c>
      <c r="E1584" s="63">
        <v>20000</v>
      </c>
    </row>
    <row r="1585" spans="1:5" ht="10.5">
      <c r="A1585" s="1" t="s">
        <v>1373</v>
      </c>
      <c r="D1585" s="1" t="s">
        <v>818</v>
      </c>
      <c r="E1585" s="63">
        <v>25000</v>
      </c>
    </row>
    <row r="1586" spans="1:5" ht="10.5">
      <c r="A1586" s="1" t="s">
        <v>1374</v>
      </c>
      <c r="D1586" s="1" t="s">
        <v>1065</v>
      </c>
      <c r="E1586" s="63">
        <v>30000</v>
      </c>
    </row>
    <row r="1587" spans="1:5" ht="10.5">
      <c r="A1587" s="1" t="s">
        <v>1375</v>
      </c>
      <c r="E1587" s="63"/>
    </row>
    <row r="1588" spans="1:5" ht="10.5">
      <c r="A1588" s="1" t="s">
        <v>1376</v>
      </c>
      <c r="B1588" s="1">
        <v>0.2</v>
      </c>
      <c r="C1588" s="1">
        <v>4</v>
      </c>
      <c r="E1588" s="63">
        <v>500</v>
      </c>
    </row>
    <row r="1589" spans="1:5" ht="10.5">
      <c r="A1589" s="1" t="s">
        <v>1377</v>
      </c>
      <c r="B1589" s="1">
        <v>0.3</v>
      </c>
      <c r="C1589" s="1">
        <v>8</v>
      </c>
      <c r="D1589" s="1">
        <v>4</v>
      </c>
      <c r="E1589" s="63">
        <v>750</v>
      </c>
    </row>
    <row r="1590" spans="1:5" ht="10.5">
      <c r="A1590" s="1" t="s">
        <v>1378</v>
      </c>
      <c r="B1590" s="1">
        <v>0.4</v>
      </c>
      <c r="C1590" s="1">
        <v>12</v>
      </c>
      <c r="D1590" s="1">
        <v>6</v>
      </c>
      <c r="E1590" s="63">
        <v>1000</v>
      </c>
    </row>
    <row r="1591" spans="1:5" ht="10.5">
      <c r="A1591" s="1" t="s">
        <v>1379</v>
      </c>
      <c r="B1591" s="1">
        <v>0.5</v>
      </c>
      <c r="C1591" s="1">
        <v>16</v>
      </c>
      <c r="D1591" s="1">
        <v>8</v>
      </c>
      <c r="E1591" s="63">
        <v>1500</v>
      </c>
    </row>
    <row r="1592" spans="1:5" ht="10.5">
      <c r="A1592" s="1" t="s">
        <v>1380</v>
      </c>
      <c r="C1592" s="1">
        <v>1</v>
      </c>
      <c r="D1592" s="1">
        <v>4</v>
      </c>
      <c r="E1592" s="63">
        <v>750</v>
      </c>
    </row>
    <row r="1593" spans="1:5" ht="10.5">
      <c r="A1593" s="1" t="s">
        <v>1381</v>
      </c>
      <c r="C1593" s="1">
        <v>2</v>
      </c>
      <c r="D1593" s="1">
        <v>4</v>
      </c>
      <c r="E1593" s="63">
        <v>1000</v>
      </c>
    </row>
    <row r="1594" spans="1:5" ht="10.5">
      <c r="A1594" s="1" t="s">
        <v>1382</v>
      </c>
      <c r="C1594" s="1">
        <v>6</v>
      </c>
      <c r="E1594" s="63">
        <v>63000</v>
      </c>
    </row>
    <row r="1595" spans="1:5" ht="10.5">
      <c r="A1595" s="1" t="s">
        <v>1383</v>
      </c>
      <c r="D1595" s="1">
        <v>4</v>
      </c>
      <c r="E1595" s="63">
        <v>100</v>
      </c>
    </row>
    <row r="1596" spans="1:5" ht="10.5">
      <c r="A1596" s="1" t="s">
        <v>1384</v>
      </c>
      <c r="C1596" s="1">
        <v>1</v>
      </c>
      <c r="D1596" s="1" t="s">
        <v>850</v>
      </c>
      <c r="E1596" s="63">
        <v>15000</v>
      </c>
    </row>
    <row r="1597" spans="1:5" ht="10.5">
      <c r="A1597" s="1" t="s">
        <v>1385</v>
      </c>
      <c r="C1597" s="1">
        <v>1</v>
      </c>
      <c r="D1597" s="1" t="s">
        <v>850</v>
      </c>
      <c r="E1597" s="63">
        <v>30000</v>
      </c>
    </row>
    <row r="1598" spans="1:5" ht="10.5">
      <c r="A1598" s="1" t="s">
        <v>1386</v>
      </c>
      <c r="C1598" s="1">
        <v>1</v>
      </c>
      <c r="D1598" s="1" t="s">
        <v>850</v>
      </c>
      <c r="E1598" s="63">
        <v>45000</v>
      </c>
    </row>
    <row r="1599" spans="1:5" ht="10.5">
      <c r="A1599" s="1" t="s">
        <v>1387</v>
      </c>
      <c r="C1599" s="1">
        <v>1</v>
      </c>
      <c r="D1599" s="1" t="s">
        <v>850</v>
      </c>
      <c r="E1599" s="63">
        <v>60000</v>
      </c>
    </row>
    <row r="1600" spans="1:5" ht="10.5">
      <c r="A1600" s="1" t="s">
        <v>1388</v>
      </c>
      <c r="C1600" s="1">
        <v>1</v>
      </c>
      <c r="D1600" s="1" t="s">
        <v>850</v>
      </c>
      <c r="E1600" s="63">
        <v>75000</v>
      </c>
    </row>
    <row r="1601" spans="1:5" ht="10.5">
      <c r="A1601" s="1" t="s">
        <v>1389</v>
      </c>
      <c r="C1601" s="1">
        <v>1</v>
      </c>
      <c r="D1601" s="1" t="s">
        <v>850</v>
      </c>
      <c r="E1601" s="63">
        <v>90000</v>
      </c>
    </row>
    <row r="1602" spans="1:5" ht="12">
      <c r="A1602" s="96" t="s">
        <v>1390</v>
      </c>
      <c r="C1602" s="1">
        <v>3</v>
      </c>
      <c r="D1602" s="1" t="s">
        <v>637</v>
      </c>
      <c r="E1602" s="63">
        <v>1000</v>
      </c>
    </row>
    <row r="1603" spans="1:5" ht="12">
      <c r="A1603" s="96" t="s">
        <v>1391</v>
      </c>
      <c r="C1603" s="1">
        <v>2</v>
      </c>
      <c r="D1603" s="1">
        <v>4</v>
      </c>
      <c r="E1603" s="63">
        <v>1000</v>
      </c>
    </row>
    <row r="1604" spans="1:5" ht="10.5">
      <c r="A1604" s="1" t="s">
        <v>1392</v>
      </c>
      <c r="C1604" s="1">
        <v>1</v>
      </c>
      <c r="D1604" s="1">
        <v>3</v>
      </c>
      <c r="E1604" s="63">
        <v>1500</v>
      </c>
    </row>
    <row r="1605" spans="1:5" ht="10.5">
      <c r="A1605" s="1" t="s">
        <v>1393</v>
      </c>
      <c r="C1605" s="1">
        <v>2</v>
      </c>
      <c r="D1605" s="1">
        <v>6</v>
      </c>
      <c r="E1605" s="63">
        <v>3000</v>
      </c>
    </row>
    <row r="1606" spans="1:5" ht="10.5">
      <c r="A1606" s="1" t="s">
        <v>1394</v>
      </c>
      <c r="C1606" s="1">
        <v>3</v>
      </c>
      <c r="D1606" s="1">
        <v>9</v>
      </c>
      <c r="E1606" s="63">
        <v>4500</v>
      </c>
    </row>
    <row r="1607" spans="1:5" ht="10.5">
      <c r="A1607" s="1" t="s">
        <v>1395</v>
      </c>
      <c r="C1607" s="1">
        <v>2</v>
      </c>
      <c r="D1607" s="1">
        <v>4</v>
      </c>
      <c r="E1607" s="63">
        <v>1000</v>
      </c>
    </row>
    <row r="1608" spans="1:5" ht="10.5">
      <c r="A1608" s="1" t="s">
        <v>1396</v>
      </c>
      <c r="B1608" s="1">
        <v>0.1</v>
      </c>
      <c r="D1608" s="1">
        <v>4</v>
      </c>
      <c r="E1608" s="63">
        <v>2000</v>
      </c>
    </row>
    <row r="1609" spans="1:5" ht="10.5">
      <c r="A1609" s="1" t="s">
        <v>1397</v>
      </c>
      <c r="B1609" s="1">
        <v>0.1</v>
      </c>
      <c r="D1609" s="1">
        <v>4</v>
      </c>
      <c r="E1609" s="63">
        <v>750</v>
      </c>
    </row>
    <row r="1610" spans="1:5" ht="10.5">
      <c r="A1610" s="1" t="s">
        <v>1398</v>
      </c>
      <c r="B1610" s="1">
        <v>0.1</v>
      </c>
      <c r="D1610" s="1">
        <v>4</v>
      </c>
      <c r="E1610" s="63">
        <v>500</v>
      </c>
    </row>
    <row r="1611" spans="1:5" ht="10.5">
      <c r="A1611" s="1" t="s">
        <v>1399</v>
      </c>
      <c r="B1611" s="1">
        <v>0.1</v>
      </c>
      <c r="D1611" s="1">
        <v>4</v>
      </c>
      <c r="E1611" s="63">
        <v>1000</v>
      </c>
    </row>
    <row r="1612" spans="1:5" ht="10.5">
      <c r="A1612" s="1" t="s">
        <v>1400</v>
      </c>
      <c r="E1612" s="63">
        <v>63000</v>
      </c>
    </row>
    <row r="1613" spans="1:5" ht="10.5">
      <c r="A1613" s="1" t="s">
        <v>1401</v>
      </c>
      <c r="D1613" s="1">
        <v>4</v>
      </c>
      <c r="E1613" s="63">
        <v>100</v>
      </c>
    </row>
    <row r="1614" spans="1:5" ht="10.5">
      <c r="A1614" s="1" t="s">
        <v>1402</v>
      </c>
      <c r="B1614" s="1">
        <v>0.1</v>
      </c>
      <c r="D1614" s="1" t="s">
        <v>850</v>
      </c>
      <c r="E1614" s="63">
        <v>15000</v>
      </c>
    </row>
    <row r="1615" spans="1:5" ht="10.5">
      <c r="A1615" s="1" t="s">
        <v>1403</v>
      </c>
      <c r="B1615" s="1">
        <v>0.1</v>
      </c>
      <c r="D1615" s="1" t="s">
        <v>850</v>
      </c>
      <c r="E1615" s="63">
        <v>30000</v>
      </c>
    </row>
    <row r="1616" spans="1:5" ht="10.5">
      <c r="A1616" s="1" t="s">
        <v>1404</v>
      </c>
      <c r="B1616" s="1">
        <v>0.1</v>
      </c>
      <c r="D1616" s="1" t="s">
        <v>850</v>
      </c>
      <c r="E1616" s="63">
        <v>45000</v>
      </c>
    </row>
    <row r="1617" spans="1:5" ht="10.5">
      <c r="A1617" s="1" t="s">
        <v>1405</v>
      </c>
      <c r="B1617" s="1">
        <v>0.1</v>
      </c>
      <c r="D1617" s="1" t="s">
        <v>850</v>
      </c>
      <c r="E1617" s="63">
        <v>60000</v>
      </c>
    </row>
    <row r="1618" spans="1:5" ht="10.5">
      <c r="A1618" s="1" t="s">
        <v>1406</v>
      </c>
      <c r="B1618" s="1">
        <v>0.1</v>
      </c>
      <c r="D1618" s="1" t="s">
        <v>850</v>
      </c>
      <c r="E1618" s="63">
        <v>75000</v>
      </c>
    </row>
    <row r="1619" spans="1:5" ht="10.5">
      <c r="A1619" s="1" t="s">
        <v>1407</v>
      </c>
      <c r="B1619" s="1">
        <v>0.1</v>
      </c>
      <c r="D1619" s="1" t="s">
        <v>850</v>
      </c>
      <c r="E1619" s="63">
        <v>90000</v>
      </c>
    </row>
    <row r="1620" spans="1:5" ht="10.5">
      <c r="A1620" s="1" t="s">
        <v>1408</v>
      </c>
      <c r="B1620" s="1">
        <v>0.1</v>
      </c>
      <c r="D1620" s="1" t="s">
        <v>637</v>
      </c>
      <c r="E1620" s="63">
        <v>1000</v>
      </c>
    </row>
    <row r="1621" spans="1:5" ht="10.5">
      <c r="A1621" s="1" t="s">
        <v>1409</v>
      </c>
      <c r="B1621" s="1">
        <v>0.1</v>
      </c>
      <c r="D1621" s="1">
        <v>4</v>
      </c>
      <c r="E1621" s="63">
        <v>1000</v>
      </c>
    </row>
    <row r="1622" spans="1:5" ht="10.5">
      <c r="A1622" s="1" t="s">
        <v>1410</v>
      </c>
      <c r="B1622" s="1">
        <v>0.1</v>
      </c>
      <c r="D1622" s="1">
        <v>3</v>
      </c>
      <c r="E1622" s="63">
        <v>1500</v>
      </c>
    </row>
    <row r="1623" spans="1:5" ht="10.5">
      <c r="A1623" s="1" t="s">
        <v>1411</v>
      </c>
      <c r="B1623" s="1">
        <v>0.1</v>
      </c>
      <c r="D1623" s="1">
        <v>6</v>
      </c>
      <c r="E1623" s="63">
        <v>3000</v>
      </c>
    </row>
    <row r="1624" spans="1:5" ht="10.5">
      <c r="A1624" s="1" t="s">
        <v>1412</v>
      </c>
      <c r="B1624" s="1">
        <v>0.1</v>
      </c>
      <c r="D1624" s="1">
        <v>9</v>
      </c>
      <c r="E1624" s="63">
        <v>4500</v>
      </c>
    </row>
    <row r="1625" spans="1:5" ht="10.5">
      <c r="A1625" s="1" t="s">
        <v>1413</v>
      </c>
      <c r="B1625" s="1">
        <v>0.1</v>
      </c>
      <c r="D1625" s="1">
        <v>4</v>
      </c>
      <c r="E1625" s="63">
        <v>1000</v>
      </c>
    </row>
    <row r="1626" spans="1:5" ht="10.5">
      <c r="A1626" s="1" t="s">
        <v>1414</v>
      </c>
      <c r="E1626" s="63"/>
    </row>
    <row r="1627" spans="1:5" ht="10.5">
      <c r="A1627" s="1" t="s">
        <v>1415</v>
      </c>
      <c r="B1627" s="1">
        <v>0.2</v>
      </c>
      <c r="C1627" s="1">
        <v>4</v>
      </c>
      <c r="E1627" s="63">
        <v>500</v>
      </c>
    </row>
    <row r="1628" spans="1:5" ht="10.5">
      <c r="A1628" s="1" t="s">
        <v>1416</v>
      </c>
      <c r="B1628" s="1">
        <v>0.3</v>
      </c>
      <c r="C1628" s="1">
        <v>8</v>
      </c>
      <c r="D1628" s="1">
        <v>4</v>
      </c>
      <c r="E1628" s="63">
        <v>750</v>
      </c>
    </row>
    <row r="1629" spans="1:5" ht="10.5">
      <c r="A1629" s="1" t="s">
        <v>1417</v>
      </c>
      <c r="B1629" s="1">
        <v>0.4</v>
      </c>
      <c r="C1629" s="1">
        <v>12</v>
      </c>
      <c r="D1629" s="1">
        <v>6</v>
      </c>
      <c r="E1629" s="63">
        <v>1000</v>
      </c>
    </row>
    <row r="1630" spans="1:5" ht="10.5">
      <c r="A1630" s="1" t="s">
        <v>1418</v>
      </c>
      <c r="B1630" s="1">
        <v>0.5</v>
      </c>
      <c r="C1630" s="1">
        <v>16</v>
      </c>
      <c r="D1630" s="1">
        <v>8</v>
      </c>
      <c r="E1630" s="63">
        <v>1500</v>
      </c>
    </row>
    <row r="1631" spans="1:5" ht="10.5">
      <c r="A1631" s="1" t="s">
        <v>1419</v>
      </c>
      <c r="C1631" s="1">
        <v>1</v>
      </c>
      <c r="D1631" s="1">
        <v>3</v>
      </c>
      <c r="E1631" s="63">
        <v>1500</v>
      </c>
    </row>
    <row r="1632" spans="1:5" ht="10.5">
      <c r="A1632" s="1" t="s">
        <v>1420</v>
      </c>
      <c r="C1632" s="1">
        <v>2</v>
      </c>
      <c r="D1632" s="1">
        <v>6</v>
      </c>
      <c r="E1632" s="63">
        <v>3000</v>
      </c>
    </row>
    <row r="1633" spans="1:5" ht="10.5">
      <c r="A1633" s="1" t="s">
        <v>1421</v>
      </c>
      <c r="C1633" s="1">
        <v>3</v>
      </c>
      <c r="D1633" s="1">
        <v>9</v>
      </c>
      <c r="E1633" s="63">
        <v>4500</v>
      </c>
    </row>
    <row r="1634" spans="1:5" ht="10.5">
      <c r="A1634" s="1" t="s">
        <v>1422</v>
      </c>
      <c r="C1634" s="1">
        <v>4</v>
      </c>
      <c r="D1634" s="1">
        <v>10</v>
      </c>
      <c r="E1634" s="63">
        <v>5000</v>
      </c>
    </row>
    <row r="1635" spans="1:5" ht="10.5">
      <c r="A1635" s="1" t="s">
        <v>1423</v>
      </c>
      <c r="C1635" s="1">
        <v>1</v>
      </c>
      <c r="D1635" s="1">
        <v>4</v>
      </c>
      <c r="E1635" s="63">
        <v>750</v>
      </c>
    </row>
    <row r="1636" spans="1:5" ht="10.5">
      <c r="A1636" s="1" t="s">
        <v>1424</v>
      </c>
      <c r="C1636" s="1">
        <v>1</v>
      </c>
      <c r="D1636" s="1">
        <v>3</v>
      </c>
      <c r="E1636" s="63">
        <v>1000</v>
      </c>
    </row>
    <row r="1637" spans="1:5" ht="10.5">
      <c r="A1637" s="1" t="s">
        <v>1425</v>
      </c>
      <c r="C1637" s="1">
        <v>2</v>
      </c>
      <c r="D1637" s="1">
        <v>6</v>
      </c>
      <c r="E1637" s="63">
        <v>2000</v>
      </c>
    </row>
    <row r="1638" spans="1:5" ht="10.5">
      <c r="A1638" s="1" t="s">
        <v>1426</v>
      </c>
      <c r="C1638" s="1">
        <v>3</v>
      </c>
      <c r="D1638" s="1">
        <v>9</v>
      </c>
      <c r="E1638" s="63">
        <v>3000</v>
      </c>
    </row>
    <row r="1639" spans="1:5" ht="10.5">
      <c r="A1639" s="1" t="s">
        <v>1427</v>
      </c>
      <c r="C1639" s="1">
        <v>4</v>
      </c>
      <c r="D1639" s="1">
        <v>12</v>
      </c>
      <c r="E1639" s="63">
        <v>4000</v>
      </c>
    </row>
    <row r="1640" spans="1:5" ht="10.5">
      <c r="A1640" s="1" t="s">
        <v>1428</v>
      </c>
      <c r="C1640" s="1">
        <v>5</v>
      </c>
      <c r="D1640" s="1">
        <v>15</v>
      </c>
      <c r="E1640" s="63">
        <v>5000</v>
      </c>
    </row>
    <row r="1641" spans="1:5" ht="10.5">
      <c r="A1641" s="1" t="s">
        <v>1429</v>
      </c>
      <c r="C1641" s="1">
        <v>6</v>
      </c>
      <c r="D1641" s="1">
        <v>18</v>
      </c>
      <c r="E1641" s="63">
        <v>6000</v>
      </c>
    </row>
    <row r="1642" spans="1:5" ht="10.5">
      <c r="A1642" s="1" t="s">
        <v>1430</v>
      </c>
      <c r="C1642" s="1">
        <v>2</v>
      </c>
      <c r="D1642" s="1">
        <v>8</v>
      </c>
      <c r="E1642" s="63">
        <v>750</v>
      </c>
    </row>
    <row r="1643" spans="1:5" ht="10.5">
      <c r="A1643" s="1" t="s">
        <v>1431</v>
      </c>
      <c r="B1643" s="1">
        <v>0.1</v>
      </c>
      <c r="D1643" s="1">
        <v>3</v>
      </c>
      <c r="E1643" s="63">
        <v>1500</v>
      </c>
    </row>
    <row r="1644" spans="1:5" ht="10.5">
      <c r="A1644" s="1" t="s">
        <v>1432</v>
      </c>
      <c r="B1644" s="1">
        <v>0.1</v>
      </c>
      <c r="D1644" s="1">
        <v>6</v>
      </c>
      <c r="E1644" s="63">
        <v>3000</v>
      </c>
    </row>
    <row r="1645" spans="1:5" ht="10.5">
      <c r="A1645" s="1" t="s">
        <v>1433</v>
      </c>
      <c r="B1645" s="1">
        <v>0.1</v>
      </c>
      <c r="D1645" s="1">
        <v>9</v>
      </c>
      <c r="E1645" s="63">
        <v>4500</v>
      </c>
    </row>
    <row r="1646" spans="1:5" ht="10.5">
      <c r="A1646" s="1" t="s">
        <v>1434</v>
      </c>
      <c r="B1646" s="1">
        <v>0.1</v>
      </c>
      <c r="D1646" s="1">
        <v>10</v>
      </c>
      <c r="E1646" s="63">
        <v>5000</v>
      </c>
    </row>
    <row r="1647" spans="1:5" ht="10.5">
      <c r="A1647" s="1" t="s">
        <v>1435</v>
      </c>
      <c r="B1647" s="1">
        <v>0.1</v>
      </c>
      <c r="D1647" s="1">
        <v>4</v>
      </c>
      <c r="E1647" s="63">
        <v>750</v>
      </c>
    </row>
    <row r="1648" spans="1:5" ht="10.5">
      <c r="A1648" s="1" t="s">
        <v>1436</v>
      </c>
      <c r="B1648" s="1">
        <v>0.1</v>
      </c>
      <c r="D1648" s="1">
        <v>3</v>
      </c>
      <c r="E1648" s="63">
        <v>1000</v>
      </c>
    </row>
    <row r="1649" spans="1:5" ht="10.5">
      <c r="A1649" s="1" t="s">
        <v>1437</v>
      </c>
      <c r="B1649" s="1">
        <v>0.1</v>
      </c>
      <c r="D1649" s="1">
        <v>6</v>
      </c>
      <c r="E1649" s="63">
        <v>2000</v>
      </c>
    </row>
    <row r="1650" spans="1:5" ht="10.5">
      <c r="A1650" s="1" t="s">
        <v>1438</v>
      </c>
      <c r="B1650" s="1">
        <v>0.1</v>
      </c>
      <c r="D1650" s="1">
        <v>9</v>
      </c>
      <c r="E1650" s="63">
        <v>3000</v>
      </c>
    </row>
    <row r="1651" spans="1:5" ht="10.5">
      <c r="A1651" s="1" t="s">
        <v>1439</v>
      </c>
      <c r="B1651" s="1">
        <v>0.1</v>
      </c>
      <c r="D1651" s="1">
        <v>12</v>
      </c>
      <c r="E1651" s="63">
        <v>4000</v>
      </c>
    </row>
    <row r="1652" spans="1:5" ht="10.5">
      <c r="A1652" s="1" t="s">
        <v>1440</v>
      </c>
      <c r="B1652" s="1">
        <v>0.1</v>
      </c>
      <c r="D1652" s="1">
        <v>15</v>
      </c>
      <c r="E1652" s="63">
        <v>5000</v>
      </c>
    </row>
    <row r="1653" spans="1:5" ht="10.5">
      <c r="A1653" s="1" t="s">
        <v>1441</v>
      </c>
      <c r="B1653" s="1">
        <v>0.1</v>
      </c>
      <c r="D1653" s="1">
        <v>18</v>
      </c>
      <c r="E1653" s="63">
        <v>6000</v>
      </c>
    </row>
    <row r="1654" spans="1:5" ht="10.5">
      <c r="A1654" s="1" t="s">
        <v>1442</v>
      </c>
      <c r="B1654" s="1">
        <v>0.1</v>
      </c>
      <c r="D1654" s="1">
        <v>8</v>
      </c>
      <c r="E1654" s="63">
        <v>750</v>
      </c>
    </row>
    <row r="1655" spans="1:5" ht="10.5">
      <c r="A1655" s="1" t="s">
        <v>1443</v>
      </c>
      <c r="E1655" s="63">
        <v>500</v>
      </c>
    </row>
    <row r="1656" spans="1:20" ht="10.5">
      <c r="A1656" s="1" t="s">
        <v>1444</v>
      </c>
      <c r="B1656" s="1">
        <v>0.5</v>
      </c>
      <c r="D1656" s="1" t="s">
        <v>884</v>
      </c>
      <c r="E1656" s="63">
        <v>5000</v>
      </c>
      <c r="N1656" s="1">
        <v>1</v>
      </c>
      <c r="S1656" s="1">
        <v>1</v>
      </c>
      <c r="T1656" s="1">
        <v>1</v>
      </c>
    </row>
    <row r="1657" spans="1:20" ht="10.5">
      <c r="A1657" s="1" t="s">
        <v>1445</v>
      </c>
      <c r="B1657" s="1">
        <v>1</v>
      </c>
      <c r="D1657" s="1" t="s">
        <v>657</v>
      </c>
      <c r="E1657" s="63">
        <v>15000</v>
      </c>
      <c r="N1657" s="1">
        <v>2</v>
      </c>
      <c r="Q1657" s="1">
        <v>1</v>
      </c>
      <c r="S1657" s="1">
        <v>2</v>
      </c>
      <c r="T1657" s="1">
        <v>1</v>
      </c>
    </row>
    <row r="1658" spans="1:20" ht="10.5">
      <c r="A1658" s="1" t="s">
        <v>182</v>
      </c>
      <c r="B1658" s="1">
        <v>1.5</v>
      </c>
      <c r="D1658" s="1" t="s">
        <v>850</v>
      </c>
      <c r="E1658" s="63">
        <v>40000</v>
      </c>
      <c r="N1658" s="1">
        <v>3</v>
      </c>
      <c r="P1658" s="1">
        <v>1</v>
      </c>
      <c r="Q1658" s="1">
        <v>1</v>
      </c>
      <c r="S1658" s="1">
        <v>3</v>
      </c>
      <c r="T1658" s="1">
        <v>1</v>
      </c>
    </row>
    <row r="1659" spans="1:17" ht="10.5">
      <c r="A1659" s="1" t="s">
        <v>1446</v>
      </c>
      <c r="B1659" s="1">
        <v>0.5</v>
      </c>
      <c r="D1659" s="1" t="s">
        <v>770</v>
      </c>
      <c r="E1659" s="63">
        <v>5000</v>
      </c>
      <c r="P1659" s="1">
        <v>1</v>
      </c>
      <c r="Q1659" s="1">
        <v>1</v>
      </c>
    </row>
    <row r="1660" spans="1:17" ht="10.5">
      <c r="A1660" s="1" t="s">
        <v>1447</v>
      </c>
      <c r="B1660" s="1">
        <v>1</v>
      </c>
      <c r="D1660" s="1" t="s">
        <v>764</v>
      </c>
      <c r="E1660" s="63">
        <v>10000</v>
      </c>
      <c r="P1660" s="1">
        <v>2</v>
      </c>
      <c r="Q1660" s="1">
        <v>2</v>
      </c>
    </row>
    <row r="1661" spans="1:17" ht="10.5">
      <c r="A1661" s="1" t="s">
        <v>1448</v>
      </c>
      <c r="B1661" s="1">
        <v>1.5</v>
      </c>
      <c r="D1661" s="1" t="s">
        <v>1449</v>
      </c>
      <c r="E1661" s="63">
        <v>15000</v>
      </c>
      <c r="P1661" s="1">
        <v>3</v>
      </c>
      <c r="Q1661" s="1">
        <v>3</v>
      </c>
    </row>
    <row r="1662" spans="1:5" ht="10.5">
      <c r="A1662" s="1" t="s">
        <v>1450</v>
      </c>
      <c r="B1662" s="1">
        <v>0.1</v>
      </c>
      <c r="C1662" s="1">
        <v>1</v>
      </c>
      <c r="D1662" s="1">
        <v>4</v>
      </c>
      <c r="E1662" s="63">
        <v>750</v>
      </c>
    </row>
    <row r="1663" spans="1:5" ht="10.5">
      <c r="A1663" s="1" t="s">
        <v>899</v>
      </c>
      <c r="B1663" s="1">
        <v>0.5</v>
      </c>
      <c r="C1663" s="1">
        <v>5</v>
      </c>
      <c r="D1663" s="1">
        <v>8</v>
      </c>
      <c r="E1663" s="63">
        <v>1500</v>
      </c>
    </row>
    <row r="1664" spans="1:5" ht="10.5">
      <c r="A1664" s="1" t="s">
        <v>1451</v>
      </c>
      <c r="B1664" s="1">
        <v>0.25</v>
      </c>
      <c r="C1664" s="1">
        <v>3</v>
      </c>
      <c r="D1664" s="1">
        <v>4</v>
      </c>
      <c r="E1664" s="63">
        <v>650</v>
      </c>
    </row>
    <row r="1665" spans="1:9" ht="10.5">
      <c r="A1665" s="1" t="s">
        <v>1452</v>
      </c>
      <c r="B1665" s="1">
        <v>1</v>
      </c>
      <c r="D1665" s="1" t="s">
        <v>770</v>
      </c>
      <c r="E1665" s="63">
        <v>5000</v>
      </c>
      <c r="G1665" s="1">
        <v>1</v>
      </c>
      <c r="I1665" s="1">
        <v>1</v>
      </c>
    </row>
    <row r="1666" spans="1:9" ht="10.5">
      <c r="A1666" s="1" t="s">
        <v>1453</v>
      </c>
      <c r="B1666" s="1">
        <v>2</v>
      </c>
      <c r="D1666" s="1" t="s">
        <v>764</v>
      </c>
      <c r="E1666" s="63">
        <v>10000</v>
      </c>
      <c r="G1666" s="1">
        <v>2</v>
      </c>
      <c r="I1666" s="1">
        <v>2</v>
      </c>
    </row>
    <row r="1667" spans="1:9" ht="10.5">
      <c r="A1667" s="1" t="s">
        <v>1454</v>
      </c>
      <c r="B1667" s="1">
        <v>3</v>
      </c>
      <c r="D1667" s="1" t="s">
        <v>1449</v>
      </c>
      <c r="E1667" s="63">
        <v>15000</v>
      </c>
      <c r="G1667" s="1">
        <v>3</v>
      </c>
      <c r="I1667" s="1">
        <v>3</v>
      </c>
    </row>
    <row r="1668" spans="1:9" ht="10.5">
      <c r="A1668" s="1" t="s">
        <v>1455</v>
      </c>
      <c r="B1668" s="1">
        <v>4</v>
      </c>
      <c r="D1668" s="1" t="s">
        <v>1456</v>
      </c>
      <c r="E1668" s="63">
        <v>20000</v>
      </c>
      <c r="G1668" s="1">
        <v>4</v>
      </c>
      <c r="I1668" s="1">
        <v>4</v>
      </c>
    </row>
    <row r="1669" spans="1:8" ht="10.5">
      <c r="A1669" s="1" t="s">
        <v>1457</v>
      </c>
      <c r="B1669" s="1">
        <v>0.3</v>
      </c>
      <c r="D1669" s="1" t="s">
        <v>770</v>
      </c>
      <c r="E1669" s="63">
        <v>10000</v>
      </c>
      <c r="H1669" s="1">
        <v>1</v>
      </c>
    </row>
    <row r="1670" spans="1:8" ht="10.5">
      <c r="A1670" s="1" t="s">
        <v>1458</v>
      </c>
      <c r="B1670" s="1">
        <v>0.6</v>
      </c>
      <c r="D1670" s="1" t="s">
        <v>764</v>
      </c>
      <c r="E1670" s="63">
        <v>20000</v>
      </c>
      <c r="H1670" s="1">
        <v>2</v>
      </c>
    </row>
    <row r="1671" spans="1:8" ht="10.5">
      <c r="A1671" s="1" t="s">
        <v>1459</v>
      </c>
      <c r="B1671" s="1">
        <v>0.9</v>
      </c>
      <c r="D1671" s="1" t="s">
        <v>1449</v>
      </c>
      <c r="E1671" s="63">
        <v>30000</v>
      </c>
      <c r="H1671" s="1">
        <v>3</v>
      </c>
    </row>
    <row r="1672" spans="1:5" ht="10.5">
      <c r="A1672" s="1" t="s">
        <v>1460</v>
      </c>
      <c r="B1672" s="1">
        <v>0.2</v>
      </c>
      <c r="D1672" s="1">
        <v>4</v>
      </c>
      <c r="E1672" s="63">
        <v>2000</v>
      </c>
    </row>
    <row r="1673" spans="1:5" ht="10.5">
      <c r="A1673" s="1" t="s">
        <v>1461</v>
      </c>
      <c r="B1673" s="1">
        <v>0.4</v>
      </c>
      <c r="D1673" s="1">
        <v>8</v>
      </c>
      <c r="E1673" s="63">
        <v>4000</v>
      </c>
    </row>
    <row r="1674" spans="1:5" ht="10.5">
      <c r="A1674" s="1" t="s">
        <v>1462</v>
      </c>
      <c r="B1674" s="1">
        <v>0.6</v>
      </c>
      <c r="D1674" s="1">
        <v>12</v>
      </c>
      <c r="E1674" s="63">
        <v>6000</v>
      </c>
    </row>
    <row r="1675" spans="1:5" ht="10.5">
      <c r="A1675" s="1" t="s">
        <v>1463</v>
      </c>
      <c r="B1675" s="1">
        <v>0.8</v>
      </c>
      <c r="D1675" s="1">
        <v>16</v>
      </c>
      <c r="E1675" s="63">
        <v>8000</v>
      </c>
    </row>
    <row r="1676" spans="1:5" ht="10.5">
      <c r="A1676" s="1" t="s">
        <v>179</v>
      </c>
      <c r="B1676" s="1">
        <v>1</v>
      </c>
      <c r="D1676" s="1">
        <v>20</v>
      </c>
      <c r="E1676" s="63">
        <v>10000</v>
      </c>
    </row>
    <row r="1677" spans="1:5" ht="10.5">
      <c r="A1677" s="1" t="s">
        <v>1039</v>
      </c>
      <c r="B1677" s="1">
        <v>0.5</v>
      </c>
      <c r="D1677" s="1">
        <v>8</v>
      </c>
      <c r="E1677" s="63">
        <v>5000</v>
      </c>
    </row>
    <row r="1678" spans="1:5" ht="10.5">
      <c r="A1678" s="1" t="s">
        <v>1464</v>
      </c>
      <c r="B1678" s="1">
        <v>0.2</v>
      </c>
      <c r="C1678" s="1">
        <v>2</v>
      </c>
      <c r="D1678" s="1">
        <v>6</v>
      </c>
      <c r="E1678" s="63">
        <v>1500</v>
      </c>
    </row>
    <row r="1679" spans="1:5" ht="10.5">
      <c r="A1679" s="1" t="s">
        <v>1465</v>
      </c>
      <c r="B1679" s="1">
        <v>0.1</v>
      </c>
      <c r="D1679" s="1">
        <v>6</v>
      </c>
      <c r="E1679" s="63">
        <v>1000</v>
      </c>
    </row>
    <row r="1680" spans="1:18" ht="10.5">
      <c r="A1680" s="1" t="s">
        <v>1466</v>
      </c>
      <c r="B1680" s="1">
        <v>2</v>
      </c>
      <c r="D1680" s="1" t="s">
        <v>637</v>
      </c>
      <c r="E1680" s="63">
        <v>11000</v>
      </c>
      <c r="H1680" s="1">
        <v>1</v>
      </c>
      <c r="R1680" s="1">
        <v>1</v>
      </c>
    </row>
    <row r="1681" spans="1:18" ht="10.5">
      <c r="A1681" s="1" t="s">
        <v>1467</v>
      </c>
      <c r="B1681" s="1">
        <v>3</v>
      </c>
      <c r="D1681" s="1" t="s">
        <v>847</v>
      </c>
      <c r="E1681" s="63">
        <v>32000</v>
      </c>
      <c r="H1681" s="1">
        <v>2</v>
      </c>
      <c r="R1681" s="1">
        <v>2</v>
      </c>
    </row>
    <row r="1682" spans="1:18" ht="10.5">
      <c r="A1682" s="1" t="s">
        <v>1468</v>
      </c>
      <c r="B1682" s="1">
        <v>5</v>
      </c>
      <c r="D1682" s="1" t="s">
        <v>1456</v>
      </c>
      <c r="E1682" s="63">
        <v>100000</v>
      </c>
      <c r="H1682" s="1">
        <v>3</v>
      </c>
      <c r="R1682" s="1">
        <v>3</v>
      </c>
    </row>
    <row r="1683" ht="10.5">
      <c r="A1683" s="1" t="s">
        <v>1469</v>
      </c>
    </row>
    <row r="1684" spans="1:5" ht="10.5">
      <c r="A1684" s="1" t="s">
        <v>1470</v>
      </c>
      <c r="B1684" s="1">
        <v>1</v>
      </c>
      <c r="C1684" s="1">
        <v>15</v>
      </c>
      <c r="D1684" s="1">
        <v>4</v>
      </c>
      <c r="E1684" s="63">
        <v>15000</v>
      </c>
    </row>
    <row r="1685" spans="1:5" ht="10.5">
      <c r="A1685" s="1" t="s">
        <v>1471</v>
      </c>
      <c r="B1685" s="1">
        <v>1</v>
      </c>
      <c r="C1685" s="1">
        <v>20</v>
      </c>
      <c r="D1685" s="1">
        <v>4</v>
      </c>
      <c r="E1685" s="63">
        <v>15000</v>
      </c>
    </row>
    <row r="1686" spans="1:5" ht="10.5">
      <c r="A1686" s="1" t="s">
        <v>1472</v>
      </c>
      <c r="B1686" s="1">
        <v>0.25</v>
      </c>
      <c r="C1686" s="1">
        <v>4</v>
      </c>
      <c r="D1686" s="1">
        <v>2</v>
      </c>
      <c r="E1686" s="63">
        <v>5000</v>
      </c>
    </row>
    <row r="1687" spans="1:5" ht="10.5">
      <c r="A1687" s="1" t="s">
        <v>1473</v>
      </c>
      <c r="B1687" s="1">
        <v>0.45</v>
      </c>
      <c r="C1687" s="1">
        <v>10</v>
      </c>
      <c r="D1687" s="1">
        <v>4</v>
      </c>
      <c r="E1687" s="63">
        <v>10000</v>
      </c>
    </row>
    <row r="1688" spans="1:5" ht="10.5">
      <c r="A1688" s="1" t="s">
        <v>1474</v>
      </c>
      <c r="B1688" s="1">
        <v>0.45</v>
      </c>
      <c r="C1688" s="1">
        <v>12</v>
      </c>
      <c r="D1688" s="1">
        <v>4</v>
      </c>
      <c r="E1688" s="63">
        <v>10000</v>
      </c>
    </row>
    <row r="1689" spans="1:5" ht="10.5">
      <c r="A1689" s="1" t="s">
        <v>1475</v>
      </c>
      <c r="B1689" s="1">
        <v>1.5</v>
      </c>
      <c r="C1689" s="1">
        <v>10</v>
      </c>
      <c r="D1689" s="1">
        <v>12</v>
      </c>
      <c r="E1689" s="63">
        <v>20000</v>
      </c>
    </row>
    <row r="1690" spans="1:5" ht="10.5">
      <c r="A1690" s="1" t="s">
        <v>1476</v>
      </c>
      <c r="B1690" s="1">
        <v>1.75</v>
      </c>
      <c r="C1690" s="1">
        <v>4</v>
      </c>
      <c r="D1690" s="1">
        <v>16</v>
      </c>
      <c r="E1690" s="63">
        <v>10000</v>
      </c>
    </row>
    <row r="1691" spans="1:5" ht="10.5">
      <c r="A1691" s="1" t="s">
        <v>1477</v>
      </c>
      <c r="B1691" s="1">
        <v>1</v>
      </c>
      <c r="C1691" s="1">
        <v>8</v>
      </c>
      <c r="D1691" s="1">
        <v>4</v>
      </c>
      <c r="E1691" s="63">
        <v>20000</v>
      </c>
    </row>
    <row r="1692" spans="1:5" ht="10.5">
      <c r="A1692" s="1" t="s">
        <v>1478</v>
      </c>
      <c r="B1692" s="1">
        <v>1</v>
      </c>
      <c r="C1692" s="1">
        <v>10</v>
      </c>
      <c r="D1692" s="1">
        <v>4</v>
      </c>
      <c r="E1692" s="63">
        <v>20000</v>
      </c>
    </row>
    <row r="1693" spans="1:5" ht="10.5">
      <c r="A1693" s="1" t="s">
        <v>1479</v>
      </c>
      <c r="B1693" s="1">
        <v>0.25</v>
      </c>
      <c r="C1693" s="1">
        <v>2</v>
      </c>
      <c r="D1693" s="1">
        <v>2</v>
      </c>
      <c r="E1693" s="63">
        <v>6000</v>
      </c>
    </row>
    <row r="1694" spans="1:5" ht="10.5">
      <c r="A1694" s="1" t="s">
        <v>1480</v>
      </c>
      <c r="B1694" s="1">
        <v>0.45</v>
      </c>
      <c r="C1694" s="1">
        <v>5</v>
      </c>
      <c r="D1694" s="1">
        <v>4</v>
      </c>
      <c r="E1694" s="63">
        <v>12000</v>
      </c>
    </row>
    <row r="1695" spans="1:5" ht="10.5">
      <c r="A1695" s="1" t="s">
        <v>1481</v>
      </c>
      <c r="B1695" s="1">
        <v>0.45</v>
      </c>
      <c r="C1695" s="1">
        <v>6</v>
      </c>
      <c r="D1695" s="1">
        <v>4</v>
      </c>
      <c r="E1695" s="63">
        <v>12000</v>
      </c>
    </row>
    <row r="1696" spans="1:5" ht="10.5">
      <c r="A1696" s="1" t="s">
        <v>1482</v>
      </c>
      <c r="B1696" s="1">
        <v>1.5</v>
      </c>
      <c r="C1696" s="1">
        <v>5</v>
      </c>
      <c r="D1696" s="1">
        <v>12</v>
      </c>
      <c r="E1696" s="63">
        <v>25000</v>
      </c>
    </row>
    <row r="1697" spans="1:5" ht="10.5">
      <c r="A1697" s="1" t="s">
        <v>1483</v>
      </c>
      <c r="B1697" s="1">
        <v>1.75</v>
      </c>
      <c r="C1697" s="1">
        <v>2</v>
      </c>
      <c r="D1697" s="1">
        <v>16</v>
      </c>
      <c r="E1697" s="63">
        <v>15000</v>
      </c>
    </row>
    <row r="1698" spans="1:5" ht="10.5">
      <c r="A1698" s="1" t="s">
        <v>1484</v>
      </c>
      <c r="C1698" s="1">
        <v>2</v>
      </c>
      <c r="D1698" s="1">
        <v>5</v>
      </c>
      <c r="E1698" s="63">
        <v>300</v>
      </c>
    </row>
    <row r="1699" spans="1:5" ht="10.5">
      <c r="A1699" s="1" t="s">
        <v>1485</v>
      </c>
      <c r="C1699" s="1">
        <v>4</v>
      </c>
      <c r="D1699" s="1">
        <v>10</v>
      </c>
      <c r="E1699" s="63">
        <v>600</v>
      </c>
    </row>
    <row r="1700" spans="1:5" ht="10.5">
      <c r="A1700" s="1" t="s">
        <v>1486</v>
      </c>
      <c r="C1700" s="1">
        <v>6</v>
      </c>
      <c r="D1700" s="1">
        <v>15</v>
      </c>
      <c r="E1700" s="63">
        <v>900</v>
      </c>
    </row>
    <row r="1701" spans="1:5" ht="10.5">
      <c r="A1701" s="1" t="s">
        <v>1487</v>
      </c>
      <c r="C1701" s="1">
        <v>8</v>
      </c>
      <c r="D1701" s="1">
        <v>20</v>
      </c>
      <c r="E1701" s="63">
        <v>1200</v>
      </c>
    </row>
    <row r="1702" spans="1:5" ht="10.5">
      <c r="A1702" s="1" t="s">
        <v>1488</v>
      </c>
      <c r="C1702" s="1">
        <v>1</v>
      </c>
      <c r="D1702" s="1" t="s">
        <v>660</v>
      </c>
      <c r="E1702" s="63">
        <v>200</v>
      </c>
    </row>
    <row r="1703" spans="1:5" ht="10.5">
      <c r="A1703" s="1" t="s">
        <v>1489</v>
      </c>
      <c r="C1703" s="1">
        <v>2</v>
      </c>
      <c r="D1703" s="1" t="s">
        <v>639</v>
      </c>
      <c r="E1703" s="63">
        <v>400</v>
      </c>
    </row>
    <row r="1704" spans="1:5" ht="10.5">
      <c r="A1704" s="1" t="s">
        <v>1490</v>
      </c>
      <c r="C1704" s="1">
        <v>3</v>
      </c>
      <c r="D1704" s="1" t="s">
        <v>1491</v>
      </c>
      <c r="E1704" s="63">
        <v>600</v>
      </c>
    </row>
    <row r="1705" spans="1:5" ht="10.5">
      <c r="A1705" s="1" t="s">
        <v>1492</v>
      </c>
      <c r="C1705" s="1">
        <v>4</v>
      </c>
      <c r="D1705" s="1" t="s">
        <v>847</v>
      </c>
      <c r="E1705" s="63">
        <v>800</v>
      </c>
    </row>
    <row r="1706" spans="1:5" ht="10.5">
      <c r="A1706" s="1" t="s">
        <v>1493</v>
      </c>
      <c r="C1706" s="1">
        <v>5</v>
      </c>
      <c r="D1706" s="1" t="s">
        <v>1449</v>
      </c>
      <c r="E1706" s="63">
        <v>1000</v>
      </c>
    </row>
    <row r="1707" spans="1:5" ht="10.5">
      <c r="A1707" s="1" t="s">
        <v>1494</v>
      </c>
      <c r="C1707" s="1">
        <v>6</v>
      </c>
      <c r="D1707" s="1" t="s">
        <v>1495</v>
      </c>
      <c r="E1707" s="63">
        <v>1200</v>
      </c>
    </row>
    <row r="1708" spans="1:5" ht="10.5">
      <c r="A1708" s="1" t="s">
        <v>1496</v>
      </c>
      <c r="C1708" s="1">
        <v>7</v>
      </c>
      <c r="D1708" s="1" t="s">
        <v>1497</v>
      </c>
      <c r="E1708" s="63">
        <v>1400</v>
      </c>
    </row>
    <row r="1709" spans="1:5" ht="10.5">
      <c r="A1709" s="1" t="s">
        <v>1498</v>
      </c>
      <c r="C1709" s="1">
        <v>1</v>
      </c>
      <c r="D1709" s="1" t="s">
        <v>660</v>
      </c>
      <c r="E1709" s="63">
        <v>250</v>
      </c>
    </row>
    <row r="1710" spans="1:5" ht="10.5">
      <c r="A1710" s="1" t="s">
        <v>1499</v>
      </c>
      <c r="C1710" s="1">
        <v>2</v>
      </c>
      <c r="D1710" s="1" t="s">
        <v>639</v>
      </c>
      <c r="E1710" s="63">
        <v>500</v>
      </c>
    </row>
    <row r="1711" spans="1:5" ht="10.5">
      <c r="A1711" s="1" t="s">
        <v>1500</v>
      </c>
      <c r="C1711" s="1">
        <v>3</v>
      </c>
      <c r="D1711" s="1" t="s">
        <v>1491</v>
      </c>
      <c r="E1711" s="63">
        <v>750</v>
      </c>
    </row>
    <row r="1712" spans="1:5" ht="10.5">
      <c r="A1712" s="1" t="s">
        <v>1501</v>
      </c>
      <c r="C1712" s="1">
        <v>4</v>
      </c>
      <c r="D1712" s="1" t="s">
        <v>847</v>
      </c>
      <c r="E1712" s="63">
        <v>1000</v>
      </c>
    </row>
    <row r="1713" spans="1:5" ht="10.5">
      <c r="A1713" s="1" t="s">
        <v>1502</v>
      </c>
      <c r="C1713" s="1">
        <v>5</v>
      </c>
      <c r="D1713" s="1" t="s">
        <v>1449</v>
      </c>
      <c r="E1713" s="63">
        <v>1250</v>
      </c>
    </row>
    <row r="1714" spans="1:5" ht="10.5">
      <c r="A1714" s="1" t="s">
        <v>1503</v>
      </c>
      <c r="C1714" s="1">
        <v>6</v>
      </c>
      <c r="D1714" s="1" t="s">
        <v>1495</v>
      </c>
      <c r="E1714" s="63">
        <v>1500</v>
      </c>
    </row>
    <row r="1715" spans="1:5" ht="10.5">
      <c r="A1715" s="1" t="s">
        <v>1504</v>
      </c>
      <c r="C1715" s="1">
        <v>7</v>
      </c>
      <c r="D1715" s="1" t="s">
        <v>1497</v>
      </c>
      <c r="E1715" s="63">
        <v>1750</v>
      </c>
    </row>
    <row r="1716" spans="1:5" ht="10.5">
      <c r="A1716" s="1" t="s">
        <v>1505</v>
      </c>
      <c r="C1716" s="1">
        <v>1</v>
      </c>
      <c r="D1716" s="1">
        <v>3</v>
      </c>
      <c r="E1716" s="63">
        <v>250</v>
      </c>
    </row>
    <row r="1717" spans="1:5" ht="10.5">
      <c r="A1717" s="1" t="s">
        <v>1506</v>
      </c>
      <c r="C1717" s="1">
        <v>2</v>
      </c>
      <c r="D1717" s="1">
        <v>6</v>
      </c>
      <c r="E1717" s="63">
        <v>500</v>
      </c>
    </row>
    <row r="1718" spans="1:5" ht="10.5">
      <c r="A1718" s="1" t="s">
        <v>1507</v>
      </c>
      <c r="C1718" s="1">
        <v>3</v>
      </c>
      <c r="D1718" s="1">
        <v>9</v>
      </c>
      <c r="E1718" s="63">
        <v>750</v>
      </c>
    </row>
    <row r="1719" spans="1:5" ht="10.5">
      <c r="A1719" s="1" t="s">
        <v>1508</v>
      </c>
      <c r="C1719" s="1">
        <v>4</v>
      </c>
      <c r="D1719" s="1">
        <v>12</v>
      </c>
      <c r="E1719" s="63">
        <v>1000</v>
      </c>
    </row>
    <row r="1720" spans="1:5" ht="10.5">
      <c r="A1720" s="1" t="s">
        <v>1509</v>
      </c>
      <c r="C1720" s="1">
        <v>5</v>
      </c>
      <c r="D1720" s="1">
        <v>15</v>
      </c>
      <c r="E1720" s="63">
        <v>1250</v>
      </c>
    </row>
    <row r="1721" spans="1:5" ht="10.5">
      <c r="A1721" s="1" t="s">
        <v>1510</v>
      </c>
      <c r="C1721" s="1">
        <v>6</v>
      </c>
      <c r="D1721" s="1">
        <v>18</v>
      </c>
      <c r="E1721" s="63">
        <v>1500</v>
      </c>
    </row>
    <row r="1722" spans="1:5" ht="10.5">
      <c r="A1722" s="1" t="s">
        <v>1511</v>
      </c>
      <c r="C1722" s="1">
        <v>7</v>
      </c>
      <c r="D1722" s="1">
        <v>21</v>
      </c>
      <c r="E1722" s="63">
        <v>1750</v>
      </c>
    </row>
    <row r="1723" spans="1:5" ht="12">
      <c r="A1723" s="96" t="s">
        <v>1512</v>
      </c>
      <c r="C1723" s="1">
        <v>4</v>
      </c>
      <c r="D1723" s="1" t="s">
        <v>657</v>
      </c>
      <c r="E1723" s="63">
        <v>6000</v>
      </c>
    </row>
    <row r="1724" spans="1:5" ht="12">
      <c r="A1724" s="96" t="s">
        <v>1513</v>
      </c>
      <c r="C1724" s="1">
        <v>8</v>
      </c>
      <c r="D1724" s="1" t="s">
        <v>847</v>
      </c>
      <c r="E1724" s="63">
        <v>3000</v>
      </c>
    </row>
    <row r="1725" spans="1:5" ht="12">
      <c r="A1725" s="96" t="s">
        <v>1514</v>
      </c>
      <c r="C1725" s="1">
        <v>7</v>
      </c>
      <c r="D1725" s="1" t="s">
        <v>637</v>
      </c>
      <c r="E1725" s="63">
        <v>2000</v>
      </c>
    </row>
    <row r="1726" spans="1:5" ht="10.5">
      <c r="A1726" s="1" t="s">
        <v>1515</v>
      </c>
      <c r="C1726" s="1">
        <v>1</v>
      </c>
      <c r="D1726" s="1">
        <v>9</v>
      </c>
      <c r="E1726" s="63">
        <v>1000</v>
      </c>
    </row>
    <row r="1727" spans="1:5" ht="10.5">
      <c r="A1727" s="1" t="s">
        <v>1516</v>
      </c>
      <c r="C1727" s="1">
        <v>2</v>
      </c>
      <c r="D1727" s="1">
        <v>9</v>
      </c>
      <c r="E1727" s="63">
        <v>2000</v>
      </c>
    </row>
    <row r="1728" spans="1:5" ht="10.5">
      <c r="A1728" s="1" t="s">
        <v>1517</v>
      </c>
      <c r="C1728" s="1">
        <v>3</v>
      </c>
      <c r="D1728" s="1">
        <v>9</v>
      </c>
      <c r="E1728" s="63">
        <v>3000</v>
      </c>
    </row>
    <row r="1729" spans="1:5" ht="10.5">
      <c r="A1729" s="1" t="s">
        <v>1518</v>
      </c>
      <c r="C1729" s="1">
        <v>4</v>
      </c>
      <c r="D1729" s="1">
        <v>9</v>
      </c>
      <c r="E1729" s="63">
        <v>4000</v>
      </c>
    </row>
    <row r="1730" spans="1:5" ht="10.5">
      <c r="A1730" s="1" t="s">
        <v>1519</v>
      </c>
      <c r="C1730" s="1">
        <v>5</v>
      </c>
      <c r="D1730" s="1">
        <v>9</v>
      </c>
      <c r="E1730" s="63">
        <v>5000</v>
      </c>
    </row>
    <row r="1731" spans="1:5" ht="10.5">
      <c r="A1731" s="1" t="s">
        <v>1520</v>
      </c>
      <c r="C1731" s="1">
        <v>6</v>
      </c>
      <c r="D1731" s="1">
        <v>9</v>
      </c>
      <c r="E1731" s="63">
        <v>6000</v>
      </c>
    </row>
    <row r="1732" spans="1:5" ht="10.5">
      <c r="A1732" s="1" t="s">
        <v>1521</v>
      </c>
      <c r="C1732" s="1">
        <v>5</v>
      </c>
      <c r="D1732" s="1">
        <v>6</v>
      </c>
      <c r="E1732" s="63">
        <v>2000</v>
      </c>
    </row>
    <row r="1733" spans="1:5" ht="10.5">
      <c r="A1733" s="1" t="s">
        <v>1522</v>
      </c>
      <c r="E1733" s="63"/>
    </row>
    <row r="1734" spans="1:5" ht="10.5">
      <c r="A1734" s="1" t="s">
        <v>1523</v>
      </c>
      <c r="C1734" s="1">
        <v>2</v>
      </c>
      <c r="D1734" s="1" t="s">
        <v>847</v>
      </c>
      <c r="E1734" s="63">
        <v>800</v>
      </c>
    </row>
    <row r="1735" spans="1:5" ht="10.5">
      <c r="A1735" s="1" t="s">
        <v>1524</v>
      </c>
      <c r="C1735" s="1">
        <v>4</v>
      </c>
      <c r="D1735" s="1" t="s">
        <v>990</v>
      </c>
      <c r="E1735" s="63">
        <v>1500</v>
      </c>
    </row>
    <row r="1736" spans="1:5" ht="10.5">
      <c r="A1736" s="1" t="s">
        <v>1525</v>
      </c>
      <c r="C1736" s="1">
        <v>4</v>
      </c>
      <c r="D1736" s="1" t="s">
        <v>1282</v>
      </c>
      <c r="E1736" s="63">
        <v>2000</v>
      </c>
    </row>
    <row r="1737" spans="1:5" ht="10.5">
      <c r="A1737" s="1" t="s">
        <v>1526</v>
      </c>
      <c r="C1737" s="1">
        <v>6</v>
      </c>
      <c r="D1737" s="1" t="s">
        <v>1282</v>
      </c>
      <c r="E1737" s="63">
        <v>3200</v>
      </c>
    </row>
    <row r="1738" spans="1:5" ht="10.5">
      <c r="A1738" s="1" t="s">
        <v>1527</v>
      </c>
      <c r="C1738" s="1">
        <v>10</v>
      </c>
      <c r="D1738" s="1" t="s">
        <v>1456</v>
      </c>
      <c r="E1738" s="63">
        <v>2500</v>
      </c>
    </row>
    <row r="1739" spans="1:5" ht="10.5">
      <c r="A1739" s="1" t="s">
        <v>1528</v>
      </c>
      <c r="C1739" s="1">
        <v>11</v>
      </c>
      <c r="D1739" s="1" t="s">
        <v>1456</v>
      </c>
      <c r="E1739" s="63">
        <v>2100</v>
      </c>
    </row>
    <row r="1740" spans="1:5" ht="10.5">
      <c r="A1740" s="1" t="s">
        <v>1529</v>
      </c>
      <c r="C1740" s="1">
        <v>15</v>
      </c>
      <c r="D1740" s="1" t="s">
        <v>881</v>
      </c>
      <c r="E1740" s="63">
        <v>4000</v>
      </c>
    </row>
    <row r="1741" spans="1:5" ht="10.5">
      <c r="A1741" s="1" t="s">
        <v>1530</v>
      </c>
      <c r="C1741" s="1">
        <v>1</v>
      </c>
      <c r="E1741" s="63">
        <v>100</v>
      </c>
    </row>
    <row r="1742" spans="1:5" ht="10.5">
      <c r="A1742" s="1" t="s">
        <v>1531</v>
      </c>
      <c r="C1742" s="1">
        <v>1</v>
      </c>
      <c r="E1742" s="63">
        <v>100</v>
      </c>
    </row>
    <row r="1743" spans="1:5" ht="10.5">
      <c r="A1743" s="1" t="s">
        <v>1532</v>
      </c>
      <c r="C1743" s="1">
        <v>2</v>
      </c>
      <c r="E1743" s="63">
        <v>400</v>
      </c>
    </row>
    <row r="1744" spans="1:5" ht="10.5">
      <c r="A1744" s="1" t="s">
        <v>1533</v>
      </c>
      <c r="C1744" s="1">
        <v>3</v>
      </c>
      <c r="E1744" s="63">
        <v>600</v>
      </c>
    </row>
    <row r="1745" spans="1:5" ht="12">
      <c r="A1745" s="96" t="s">
        <v>1534</v>
      </c>
      <c r="C1745" s="1">
        <v>3</v>
      </c>
      <c r="D1745" s="1" t="s">
        <v>853</v>
      </c>
      <c r="E1745" s="63">
        <v>1500</v>
      </c>
    </row>
    <row r="1746" spans="1:5" ht="10.5">
      <c r="A1746" s="1" t="s">
        <v>1535</v>
      </c>
      <c r="D1746" s="1" t="s">
        <v>853</v>
      </c>
      <c r="E1746" s="63">
        <v>900</v>
      </c>
    </row>
    <row r="1747" spans="1:5" ht="10.5">
      <c r="A1747" s="1" t="s">
        <v>1536</v>
      </c>
      <c r="D1747" s="1" t="s">
        <v>657</v>
      </c>
      <c r="E1747" s="63">
        <v>1800</v>
      </c>
    </row>
    <row r="1748" spans="1:5" ht="10.5">
      <c r="A1748" s="1" t="s">
        <v>1537</v>
      </c>
      <c r="D1748" s="1" t="s">
        <v>637</v>
      </c>
      <c r="E1748" s="63">
        <v>1000</v>
      </c>
    </row>
    <row r="1749" spans="1:5" ht="10.5">
      <c r="A1749" s="1" t="s">
        <v>1538</v>
      </c>
      <c r="E1749" s="63"/>
    </row>
    <row r="1750" spans="1:5" ht="10.5">
      <c r="A1750" s="1" t="s">
        <v>1539</v>
      </c>
      <c r="B1750" s="1">
        <v>0.15</v>
      </c>
      <c r="C1750" s="1">
        <v>2</v>
      </c>
      <c r="D1750" s="1" t="s">
        <v>847</v>
      </c>
      <c r="E1750" s="63">
        <v>800</v>
      </c>
    </row>
    <row r="1751" spans="1:5" ht="10.5">
      <c r="A1751" s="1" t="s">
        <v>752</v>
      </c>
      <c r="B1751" s="1">
        <v>0.35</v>
      </c>
      <c r="C1751" s="1">
        <v>4</v>
      </c>
      <c r="D1751" s="1" t="s">
        <v>990</v>
      </c>
      <c r="E1751" s="63">
        <v>1500</v>
      </c>
    </row>
    <row r="1752" spans="1:5" ht="10.5">
      <c r="A1752" s="1" t="s">
        <v>780</v>
      </c>
      <c r="B1752" s="1">
        <v>0.4</v>
      </c>
      <c r="C1752" s="1">
        <v>4</v>
      </c>
      <c r="D1752" s="1" t="s">
        <v>1282</v>
      </c>
      <c r="E1752" s="63">
        <v>2000</v>
      </c>
    </row>
    <row r="1753" spans="1:5" ht="10.5">
      <c r="A1753" s="1" t="s">
        <v>766</v>
      </c>
      <c r="B1753" s="1">
        <v>0.6</v>
      </c>
      <c r="C1753" s="1">
        <v>6</v>
      </c>
      <c r="D1753" s="1" t="s">
        <v>1282</v>
      </c>
      <c r="E1753" s="63">
        <v>3200</v>
      </c>
    </row>
    <row r="1754" spans="1:5" ht="10.5">
      <c r="A1754" s="1" t="s">
        <v>1540</v>
      </c>
      <c r="B1754" s="1">
        <v>1</v>
      </c>
      <c r="C1754" s="1">
        <v>10</v>
      </c>
      <c r="D1754" s="1" t="s">
        <v>1456</v>
      </c>
      <c r="E1754" s="63">
        <v>2500</v>
      </c>
    </row>
    <row r="1755" spans="1:5" ht="10.5">
      <c r="A1755" s="1" t="s">
        <v>821</v>
      </c>
      <c r="B1755" s="1">
        <v>1.1</v>
      </c>
      <c r="C1755" s="1">
        <v>11</v>
      </c>
      <c r="D1755" s="1" t="s">
        <v>1456</v>
      </c>
      <c r="E1755" s="63">
        <v>2100</v>
      </c>
    </row>
    <row r="1756" spans="1:5" ht="10.5">
      <c r="A1756" s="1" t="s">
        <v>1541</v>
      </c>
      <c r="B1756" s="1">
        <v>1.5</v>
      </c>
      <c r="C1756" s="1">
        <v>15</v>
      </c>
      <c r="D1756" s="1" t="s">
        <v>881</v>
      </c>
      <c r="E1756" s="63">
        <v>4000</v>
      </c>
    </row>
    <row r="1757" spans="1:5" ht="10.5">
      <c r="A1757" s="1" t="s">
        <v>1542</v>
      </c>
      <c r="B1757" s="1">
        <v>0.1</v>
      </c>
      <c r="C1757" s="1">
        <v>1</v>
      </c>
      <c r="E1757" s="63">
        <v>100</v>
      </c>
    </row>
    <row r="1758" spans="1:5" ht="10.5">
      <c r="A1758" s="1" t="s">
        <v>915</v>
      </c>
      <c r="B1758" s="1">
        <v>0.1</v>
      </c>
      <c r="C1758" s="1">
        <v>1</v>
      </c>
      <c r="E1758" s="63">
        <v>100</v>
      </c>
    </row>
    <row r="1759" spans="1:5" ht="10.5">
      <c r="A1759" s="1" t="s">
        <v>920</v>
      </c>
      <c r="B1759" s="1">
        <v>0.2</v>
      </c>
      <c r="C1759" s="1">
        <v>2</v>
      </c>
      <c r="E1759" s="63">
        <v>400</v>
      </c>
    </row>
    <row r="1760" spans="1:5" ht="10.5">
      <c r="A1760" s="1" t="s">
        <v>921</v>
      </c>
      <c r="B1760" s="1">
        <v>0.3</v>
      </c>
      <c r="C1760" s="1">
        <v>3</v>
      </c>
      <c r="E1760" s="63">
        <v>600</v>
      </c>
    </row>
    <row r="1761" spans="1:5" ht="10.5">
      <c r="A1761" s="1" t="s">
        <v>1543</v>
      </c>
      <c r="B1761" s="1">
        <v>0.25</v>
      </c>
      <c r="C1761" s="1">
        <v>3</v>
      </c>
      <c r="D1761" s="1" t="s">
        <v>853</v>
      </c>
      <c r="E1761" s="63">
        <v>1500</v>
      </c>
    </row>
    <row r="1762" spans="1:5" ht="10.5">
      <c r="A1762" s="1" t="s">
        <v>1544</v>
      </c>
      <c r="B1762" s="1">
        <v>0.2</v>
      </c>
      <c r="D1762" s="1" t="s">
        <v>853</v>
      </c>
      <c r="E1762" s="63">
        <v>900</v>
      </c>
    </row>
    <row r="1763" spans="1:5" ht="10.5">
      <c r="A1763" s="1" t="s">
        <v>1545</v>
      </c>
      <c r="B1763" s="1">
        <v>0.3</v>
      </c>
      <c r="D1763" s="1" t="s">
        <v>657</v>
      </c>
      <c r="E1763" s="63">
        <v>1800</v>
      </c>
    </row>
    <row r="1764" spans="1:5" ht="10.5">
      <c r="A1764" s="1" t="s">
        <v>666</v>
      </c>
      <c r="B1764" s="1">
        <v>0.25</v>
      </c>
      <c r="D1764" s="1" t="s">
        <v>637</v>
      </c>
      <c r="E1764" s="63">
        <v>1000</v>
      </c>
    </row>
    <row r="1765" ht="10.5">
      <c r="A1765" s="1" t="s">
        <v>1546</v>
      </c>
    </row>
    <row r="1766" spans="1:5" ht="12">
      <c r="A1766" s="96" t="s">
        <v>1547</v>
      </c>
      <c r="C1766" s="1">
        <v>2</v>
      </c>
      <c r="E1766" s="63">
        <v>2000</v>
      </c>
    </row>
    <row r="1767" spans="1:5" ht="10.5">
      <c r="A1767" s="1" t="s">
        <v>1548</v>
      </c>
      <c r="C1767" s="1">
        <v>1</v>
      </c>
      <c r="D1767" s="1" t="s">
        <v>850</v>
      </c>
      <c r="E1767" s="63">
        <v>2000</v>
      </c>
    </row>
    <row r="1768" spans="1:5" ht="12">
      <c r="A1768" s="96" t="s">
        <v>1549</v>
      </c>
      <c r="C1768" s="1">
        <v>2</v>
      </c>
      <c r="D1768" s="1" t="s">
        <v>850</v>
      </c>
      <c r="E1768" s="63">
        <v>5000</v>
      </c>
    </row>
    <row r="1769" spans="1:5" ht="10.5">
      <c r="A1769" s="1" t="s">
        <v>1550</v>
      </c>
      <c r="C1769" s="1">
        <v>3</v>
      </c>
      <c r="D1769" s="1" t="s">
        <v>881</v>
      </c>
      <c r="E1769" s="63">
        <v>10000</v>
      </c>
    </row>
    <row r="1770" spans="1:5" ht="12">
      <c r="A1770" s="96" t="s">
        <v>1551</v>
      </c>
      <c r="C1770" s="1">
        <v>1</v>
      </c>
      <c r="E1770" s="63">
        <v>500</v>
      </c>
    </row>
    <row r="1771" spans="1:5" ht="10.5">
      <c r="A1771" s="1" t="s">
        <v>1552</v>
      </c>
      <c r="C1771" s="1">
        <v>1</v>
      </c>
      <c r="D1771" s="1">
        <v>12</v>
      </c>
      <c r="E1771" s="63">
        <v>1000</v>
      </c>
    </row>
    <row r="1772" spans="1:5" ht="10.5">
      <c r="A1772" s="1" t="s">
        <v>1553</v>
      </c>
      <c r="C1772" s="1">
        <v>2</v>
      </c>
      <c r="D1772" s="1">
        <v>4</v>
      </c>
      <c r="E1772" s="63">
        <v>1000</v>
      </c>
    </row>
    <row r="1773" spans="1:5" ht="10.5">
      <c r="A1773" s="1" t="s">
        <v>1554</v>
      </c>
      <c r="C1773" s="1">
        <v>2</v>
      </c>
      <c r="D1773" s="1">
        <v>8</v>
      </c>
      <c r="E1773" s="63">
        <v>2000</v>
      </c>
    </row>
    <row r="1774" spans="1:5" ht="10.5">
      <c r="A1774" s="1" t="s">
        <v>1555</v>
      </c>
      <c r="C1774" s="1">
        <v>2</v>
      </c>
      <c r="D1774" s="1">
        <v>12</v>
      </c>
      <c r="E1774" s="63">
        <v>3000</v>
      </c>
    </row>
    <row r="1775" spans="1:5" ht="10.5">
      <c r="A1775" s="1" t="s">
        <v>1556</v>
      </c>
      <c r="C1775" s="1">
        <v>2</v>
      </c>
      <c r="D1775" s="1">
        <v>16</v>
      </c>
      <c r="E1775" s="63">
        <v>4000</v>
      </c>
    </row>
    <row r="1776" spans="1:5" ht="10.5">
      <c r="A1776" s="1" t="s">
        <v>1557</v>
      </c>
      <c r="C1776" s="1">
        <v>2</v>
      </c>
      <c r="D1776" s="1">
        <v>20</v>
      </c>
      <c r="E1776" s="63">
        <v>5000</v>
      </c>
    </row>
    <row r="1777" spans="1:5" ht="10.5">
      <c r="A1777" s="1" t="s">
        <v>1558</v>
      </c>
      <c r="C1777" s="1">
        <v>2</v>
      </c>
      <c r="D1777" s="1">
        <v>24</v>
      </c>
      <c r="E1777" s="63">
        <v>6000</v>
      </c>
    </row>
    <row r="1778" spans="1:5" ht="10.5">
      <c r="A1778" s="1" t="s">
        <v>1559</v>
      </c>
      <c r="C1778" s="1">
        <v>2</v>
      </c>
      <c r="E1778" s="63">
        <v>2000</v>
      </c>
    </row>
    <row r="1779" spans="1:5" ht="10.5">
      <c r="A1779" s="1" t="s">
        <v>1560</v>
      </c>
      <c r="C1779" s="1">
        <v>2</v>
      </c>
      <c r="D1779" s="1" t="s">
        <v>657</v>
      </c>
      <c r="E1779" s="63">
        <v>5000</v>
      </c>
    </row>
    <row r="1780" spans="1:5" ht="10.5">
      <c r="A1780" s="1" t="s">
        <v>1561</v>
      </c>
      <c r="C1780" s="1">
        <v>2</v>
      </c>
      <c r="D1780" s="1">
        <v>10</v>
      </c>
      <c r="E1780" s="63">
        <v>6000</v>
      </c>
    </row>
    <row r="1781" spans="1:5" ht="10.5">
      <c r="A1781" s="1" t="s">
        <v>1562</v>
      </c>
      <c r="C1781" s="1">
        <v>1</v>
      </c>
      <c r="D1781" s="1">
        <v>4</v>
      </c>
      <c r="E1781" s="63">
        <v>750</v>
      </c>
    </row>
    <row r="1782" spans="1:5" ht="10.5">
      <c r="A1782" s="1" t="s">
        <v>1563</v>
      </c>
      <c r="C1782" s="1">
        <v>5</v>
      </c>
      <c r="D1782" s="1">
        <v>8</v>
      </c>
      <c r="E1782" s="63">
        <v>1500</v>
      </c>
    </row>
    <row r="1783" spans="1:5" ht="10.5">
      <c r="A1783" s="1" t="s">
        <v>1564</v>
      </c>
      <c r="C1783" s="1">
        <v>3</v>
      </c>
      <c r="D1783" s="1">
        <v>4</v>
      </c>
      <c r="E1783" s="63">
        <v>650</v>
      </c>
    </row>
    <row r="1784" spans="1:5" ht="10.5">
      <c r="A1784" s="1" t="s">
        <v>1565</v>
      </c>
      <c r="C1784" s="1">
        <v>2</v>
      </c>
      <c r="D1784" s="1">
        <v>6</v>
      </c>
      <c r="E1784" s="63">
        <v>1500</v>
      </c>
    </row>
    <row r="1786" spans="1:20" ht="10.5">
      <c r="A1786" s="4" t="s">
        <v>176</v>
      </c>
      <c r="B1786" s="4" t="s">
        <v>174</v>
      </c>
      <c r="C1786" s="4" t="s">
        <v>1347</v>
      </c>
      <c r="D1786" s="4" t="s">
        <v>675</v>
      </c>
      <c r="E1786" s="4" t="s">
        <v>5</v>
      </c>
      <c r="F1786" s="4" t="s">
        <v>22</v>
      </c>
      <c r="G1786" s="4" t="s">
        <v>561</v>
      </c>
      <c r="H1786" s="4" t="s">
        <v>562</v>
      </c>
      <c r="I1786" s="4" t="s">
        <v>563</v>
      </c>
      <c r="J1786" s="4" t="s">
        <v>564</v>
      </c>
      <c r="K1786" s="4" t="s">
        <v>565</v>
      </c>
      <c r="L1786" s="4" t="s">
        <v>566</v>
      </c>
      <c r="M1786" s="4" t="s">
        <v>567</v>
      </c>
      <c r="N1786" s="4" t="s">
        <v>568</v>
      </c>
      <c r="P1786" s="4" t="s">
        <v>1348</v>
      </c>
      <c r="Q1786" s="4" t="s">
        <v>570</v>
      </c>
      <c r="R1786" s="4" t="s">
        <v>571</v>
      </c>
      <c r="S1786" s="4" t="s">
        <v>1349</v>
      </c>
      <c r="T1786" s="4" t="s">
        <v>928</v>
      </c>
    </row>
    <row r="1787" ht="10.5">
      <c r="A1787" s="1" t="s">
        <v>1566</v>
      </c>
    </row>
    <row r="1788" spans="1:5" ht="10.5">
      <c r="A1788" s="1" t="s">
        <v>1567</v>
      </c>
      <c r="B1788" s="1">
        <v>0.75</v>
      </c>
      <c r="D1788" s="1" t="s">
        <v>1059</v>
      </c>
      <c r="E1788" s="63">
        <v>30000</v>
      </c>
    </row>
    <row r="1789" spans="1:5" ht="10.5">
      <c r="A1789" s="1" t="s">
        <v>1568</v>
      </c>
      <c r="B1789" s="1">
        <v>1.5</v>
      </c>
      <c r="D1789" s="1" t="s">
        <v>657</v>
      </c>
      <c r="E1789" s="63">
        <v>60000</v>
      </c>
    </row>
    <row r="1790" spans="1:5" ht="10.5">
      <c r="A1790" s="1" t="s">
        <v>1569</v>
      </c>
      <c r="B1790" s="1">
        <v>2.25</v>
      </c>
      <c r="D1790" s="1" t="s">
        <v>1065</v>
      </c>
      <c r="E1790" s="63">
        <v>90000</v>
      </c>
    </row>
    <row r="1791" spans="1:20" ht="10.5">
      <c r="A1791" s="1" t="s">
        <v>1570</v>
      </c>
      <c r="B1791" s="102">
        <v>0.3</v>
      </c>
      <c r="D1791" s="1">
        <v>12</v>
      </c>
      <c r="E1791" s="63">
        <v>20000</v>
      </c>
      <c r="N1791" s="1">
        <v>1</v>
      </c>
      <c r="T1791" s="1">
        <v>1</v>
      </c>
    </row>
    <row r="1792" spans="1:20" ht="10.5">
      <c r="A1792" s="1" t="s">
        <v>1571</v>
      </c>
      <c r="B1792" s="102">
        <v>0.6</v>
      </c>
      <c r="D1792" s="1">
        <v>12</v>
      </c>
      <c r="E1792" s="63">
        <v>40000</v>
      </c>
      <c r="N1792" s="1">
        <v>2</v>
      </c>
      <c r="S1792" s="1">
        <v>1</v>
      </c>
      <c r="T1792" s="1">
        <v>1</v>
      </c>
    </row>
    <row r="1793" spans="1:20" ht="10.5">
      <c r="A1793" s="1" t="s">
        <v>1572</v>
      </c>
      <c r="B1793" s="102">
        <v>0.9</v>
      </c>
      <c r="D1793" s="1">
        <v>12</v>
      </c>
      <c r="E1793" s="63">
        <v>60000</v>
      </c>
      <c r="N1793" s="1">
        <v>3</v>
      </c>
      <c r="S1793" s="1">
        <v>2</v>
      </c>
      <c r="T1793" s="1">
        <v>1</v>
      </c>
    </row>
    <row r="1794" spans="1:20" ht="10.5">
      <c r="A1794" s="1" t="s">
        <v>1573</v>
      </c>
      <c r="B1794" s="102">
        <v>1.2</v>
      </c>
      <c r="D1794" s="1">
        <v>12</v>
      </c>
      <c r="E1794" s="63">
        <v>80000</v>
      </c>
      <c r="N1794" s="1">
        <v>4</v>
      </c>
      <c r="S1794" s="1">
        <v>3</v>
      </c>
      <c r="T1794" s="1">
        <v>1</v>
      </c>
    </row>
    <row r="1795" spans="1:5" ht="10.5">
      <c r="A1795" s="1" t="s">
        <v>1574</v>
      </c>
      <c r="B1795" s="102">
        <v>0.1</v>
      </c>
      <c r="D1795" s="1">
        <v>4</v>
      </c>
      <c r="E1795" s="63">
        <v>7500</v>
      </c>
    </row>
    <row r="1796" spans="1:5" ht="10.5">
      <c r="A1796" s="1" t="s">
        <v>1575</v>
      </c>
      <c r="B1796" s="102">
        <v>0.5</v>
      </c>
      <c r="D1796" s="1">
        <v>4</v>
      </c>
      <c r="E1796" s="63">
        <v>20000</v>
      </c>
    </row>
    <row r="1797" spans="1:5" ht="10.5">
      <c r="A1797" s="1" t="s">
        <v>1576</v>
      </c>
      <c r="B1797" s="102">
        <v>0.3</v>
      </c>
      <c r="D1797" s="1">
        <v>12</v>
      </c>
      <c r="E1797" s="63">
        <v>40000</v>
      </c>
    </row>
    <row r="1798" spans="1:9" ht="10.5">
      <c r="A1798" s="1" t="s">
        <v>1577</v>
      </c>
      <c r="B1798" s="102">
        <v>0.2</v>
      </c>
      <c r="D1798" s="1" t="s">
        <v>770</v>
      </c>
      <c r="E1798" s="63">
        <v>7000</v>
      </c>
      <c r="I1798" s="1">
        <v>1</v>
      </c>
    </row>
    <row r="1799" spans="1:9" ht="10.5">
      <c r="A1799" s="1" t="s">
        <v>1578</v>
      </c>
      <c r="B1799" s="102">
        <v>0.4</v>
      </c>
      <c r="D1799" s="1" t="s">
        <v>764</v>
      </c>
      <c r="E1799" s="63">
        <v>14000</v>
      </c>
      <c r="I1799" s="1">
        <v>2</v>
      </c>
    </row>
    <row r="1800" spans="1:9" ht="10.5">
      <c r="A1800" s="1" t="s">
        <v>1579</v>
      </c>
      <c r="B1800" s="102">
        <v>0.6</v>
      </c>
      <c r="D1800" s="1" t="s">
        <v>1449</v>
      </c>
      <c r="E1800" s="63">
        <v>21000</v>
      </c>
      <c r="I1800" s="1">
        <v>3</v>
      </c>
    </row>
    <row r="1801" spans="1:9" ht="10.5">
      <c r="A1801" s="1" t="s">
        <v>183</v>
      </c>
      <c r="B1801" s="102">
        <v>0.8</v>
      </c>
      <c r="D1801" s="1" t="s">
        <v>1456</v>
      </c>
      <c r="E1801" s="63">
        <v>28000</v>
      </c>
      <c r="I1801" s="1">
        <v>4</v>
      </c>
    </row>
    <row r="1802" spans="1:7" ht="10.5">
      <c r="A1802" s="1" t="s">
        <v>1580</v>
      </c>
      <c r="B1802" s="102">
        <v>0.2</v>
      </c>
      <c r="D1802" s="1" t="s">
        <v>770</v>
      </c>
      <c r="E1802" s="63">
        <v>8000</v>
      </c>
      <c r="G1802" s="1">
        <v>1</v>
      </c>
    </row>
    <row r="1803" spans="1:7" ht="10.5">
      <c r="A1803" s="1" t="s">
        <v>1581</v>
      </c>
      <c r="B1803" s="102">
        <v>0.4</v>
      </c>
      <c r="D1803" s="1" t="s">
        <v>764</v>
      </c>
      <c r="E1803" s="63">
        <v>16000</v>
      </c>
      <c r="G1803" s="1">
        <v>2</v>
      </c>
    </row>
    <row r="1804" spans="1:7" ht="10.5">
      <c r="A1804" s="1" t="s">
        <v>1582</v>
      </c>
      <c r="B1804" s="102">
        <v>0.6</v>
      </c>
      <c r="D1804" s="1" t="s">
        <v>1449</v>
      </c>
      <c r="E1804" s="63">
        <v>24000</v>
      </c>
      <c r="G1804" s="1">
        <v>3</v>
      </c>
    </row>
    <row r="1805" spans="1:7" ht="10.5">
      <c r="A1805" s="1" t="s">
        <v>184</v>
      </c>
      <c r="B1805" s="102">
        <v>0.8</v>
      </c>
      <c r="D1805" s="1" t="s">
        <v>1456</v>
      </c>
      <c r="E1805" s="63">
        <v>32000</v>
      </c>
      <c r="G1805" s="1">
        <v>4</v>
      </c>
    </row>
    <row r="1806" spans="1:17" ht="10.5">
      <c r="A1806" s="1" t="s">
        <v>1583</v>
      </c>
      <c r="B1806" s="102">
        <v>0.25</v>
      </c>
      <c r="D1806" s="1" t="s">
        <v>641</v>
      </c>
      <c r="E1806" s="63">
        <v>30000</v>
      </c>
      <c r="P1806" s="1">
        <v>1</v>
      </c>
      <c r="Q1806" s="1">
        <v>1</v>
      </c>
    </row>
    <row r="1807" spans="1:17" ht="10.5">
      <c r="A1807" s="1" t="s">
        <v>1584</v>
      </c>
      <c r="B1807" s="102">
        <v>0.5</v>
      </c>
      <c r="D1807" s="1" t="s">
        <v>637</v>
      </c>
      <c r="E1807" s="63">
        <v>60000</v>
      </c>
      <c r="P1807" s="1">
        <v>2</v>
      </c>
      <c r="Q1807" s="1">
        <v>2</v>
      </c>
    </row>
    <row r="1808" spans="1:17" ht="10.5">
      <c r="A1808" s="1" t="s">
        <v>1585</v>
      </c>
      <c r="B1808" s="102">
        <v>0.75</v>
      </c>
      <c r="D1808" s="1" t="s">
        <v>847</v>
      </c>
      <c r="E1808" s="63">
        <v>90000</v>
      </c>
      <c r="P1808" s="1">
        <v>3</v>
      </c>
      <c r="Q1808" s="1">
        <v>3</v>
      </c>
    </row>
    <row r="1809" spans="1:5" ht="10.5">
      <c r="A1809" s="1" t="s">
        <v>1586</v>
      </c>
      <c r="B1809" s="102">
        <v>0.1</v>
      </c>
      <c r="D1809" s="1">
        <v>8</v>
      </c>
      <c r="E1809" s="63">
        <v>10000</v>
      </c>
    </row>
    <row r="1810" spans="1:5" ht="10.5">
      <c r="A1810" s="1" t="s">
        <v>1587</v>
      </c>
      <c r="B1810" s="102">
        <v>0.2</v>
      </c>
      <c r="D1810" s="1">
        <v>8</v>
      </c>
      <c r="E1810" s="63">
        <v>20000</v>
      </c>
    </row>
    <row r="1811" spans="1:5" ht="10.5">
      <c r="A1811" s="1" t="s">
        <v>1588</v>
      </c>
      <c r="B1811" s="102">
        <v>0.3</v>
      </c>
      <c r="D1811" s="1">
        <v>8</v>
      </c>
      <c r="E1811" s="63">
        <v>30000</v>
      </c>
    </row>
    <row r="1812" spans="1:5" ht="10.5">
      <c r="A1812" s="1" t="s">
        <v>1589</v>
      </c>
      <c r="B1812" s="102">
        <v>0.4</v>
      </c>
      <c r="D1812" s="1">
        <v>8</v>
      </c>
      <c r="E1812" s="63">
        <v>40000</v>
      </c>
    </row>
    <row r="1813" spans="1:5" ht="10.5">
      <c r="A1813" s="1" t="s">
        <v>1590</v>
      </c>
      <c r="B1813" s="102">
        <v>0.5</v>
      </c>
      <c r="D1813" s="1">
        <v>8</v>
      </c>
      <c r="E1813" s="63">
        <v>50000</v>
      </c>
    </row>
    <row r="1814" spans="1:5" ht="10.5">
      <c r="A1814" s="1" t="s">
        <v>1591</v>
      </c>
      <c r="B1814" s="102">
        <v>0.6</v>
      </c>
      <c r="D1814" s="1">
        <v>8</v>
      </c>
      <c r="E1814" s="63">
        <v>60000</v>
      </c>
    </row>
    <row r="1815" spans="1:5" ht="10.5">
      <c r="A1815" s="1" t="s">
        <v>1592</v>
      </c>
      <c r="B1815" s="102">
        <v>0.2</v>
      </c>
      <c r="D1815" s="1">
        <v>12</v>
      </c>
      <c r="E1815" s="63">
        <v>25000</v>
      </c>
    </row>
    <row r="1816" spans="1:5" ht="10.5">
      <c r="A1816" s="1" t="s">
        <v>1593</v>
      </c>
      <c r="B1816" s="102">
        <v>0.1</v>
      </c>
      <c r="D1816" s="1">
        <v>4</v>
      </c>
      <c r="E1816" s="63">
        <v>5000</v>
      </c>
    </row>
    <row r="1817" spans="1:9" ht="10.5">
      <c r="A1817" s="1" t="s">
        <v>181</v>
      </c>
      <c r="B1817" s="102">
        <v>0.7</v>
      </c>
      <c r="D1817" s="1" t="s">
        <v>881</v>
      </c>
      <c r="E1817" s="63">
        <v>45000</v>
      </c>
      <c r="F1817" s="1">
        <v>1</v>
      </c>
      <c r="G1817" s="1">
        <v>1</v>
      </c>
      <c r="H1817" s="1">
        <v>1</v>
      </c>
      <c r="I1817" s="1">
        <v>1</v>
      </c>
    </row>
    <row r="1818" spans="1:5" ht="10.5">
      <c r="A1818" s="1" t="s">
        <v>1594</v>
      </c>
      <c r="B1818" s="102">
        <v>0.2</v>
      </c>
      <c r="D1818" s="1">
        <v>5</v>
      </c>
      <c r="E1818" s="63">
        <v>10000</v>
      </c>
    </row>
    <row r="1819" spans="1:5" ht="10.5">
      <c r="A1819" s="1" t="s">
        <v>1595</v>
      </c>
      <c r="B1819" s="102">
        <v>0.4</v>
      </c>
      <c r="D1819" s="1">
        <v>10</v>
      </c>
      <c r="E1819" s="63">
        <v>20000</v>
      </c>
    </row>
    <row r="1820" spans="1:5" ht="10.5">
      <c r="A1820" s="1" t="s">
        <v>1596</v>
      </c>
      <c r="B1820" s="102">
        <v>0.6</v>
      </c>
      <c r="D1820" s="1">
        <v>15</v>
      </c>
      <c r="E1820" s="63">
        <v>30000</v>
      </c>
    </row>
    <row r="1821" spans="1:5" ht="10.5">
      <c r="A1821" s="1" t="s">
        <v>1597</v>
      </c>
      <c r="B1821" s="102">
        <v>0.1</v>
      </c>
      <c r="D1821" s="1">
        <v>4</v>
      </c>
      <c r="E1821" s="63">
        <v>10000</v>
      </c>
    </row>
    <row r="1822" spans="1:5" ht="10.5">
      <c r="A1822" s="1" t="s">
        <v>1598</v>
      </c>
      <c r="B1822" s="102">
        <v>0.2</v>
      </c>
      <c r="D1822" s="1">
        <v>8</v>
      </c>
      <c r="E1822" s="63">
        <v>20000</v>
      </c>
    </row>
    <row r="1823" spans="1:5" ht="10.5">
      <c r="A1823" s="1" t="s">
        <v>1599</v>
      </c>
      <c r="B1823" s="102">
        <v>0.3</v>
      </c>
      <c r="D1823" s="1">
        <v>12</v>
      </c>
      <c r="E1823" s="63">
        <v>30000</v>
      </c>
    </row>
    <row r="1824" spans="1:5" ht="10.5">
      <c r="A1824" s="1" t="s">
        <v>1600</v>
      </c>
      <c r="B1824" s="102">
        <v>0.2</v>
      </c>
      <c r="D1824" s="1" t="s">
        <v>1038</v>
      </c>
      <c r="E1824" s="63">
        <v>15000</v>
      </c>
    </row>
    <row r="1825" spans="1:5" ht="10.5">
      <c r="A1825" s="1" t="s">
        <v>1601</v>
      </c>
      <c r="B1825" s="102">
        <v>0.4</v>
      </c>
      <c r="D1825" s="1" t="s">
        <v>884</v>
      </c>
      <c r="E1825" s="63">
        <v>30000</v>
      </c>
    </row>
    <row r="1826" spans="1:5" ht="10.5">
      <c r="A1826" s="1" t="s">
        <v>1602</v>
      </c>
      <c r="B1826" s="102">
        <v>0.6</v>
      </c>
      <c r="D1826" s="1" t="s">
        <v>657</v>
      </c>
      <c r="E1826" s="63">
        <v>45000</v>
      </c>
    </row>
    <row r="1827" spans="1:5" ht="10.5">
      <c r="A1827" s="1" t="s">
        <v>1603</v>
      </c>
      <c r="B1827" s="102">
        <v>0.2</v>
      </c>
      <c r="D1827" s="1">
        <v>3</v>
      </c>
      <c r="E1827" s="63">
        <v>20000</v>
      </c>
    </row>
    <row r="1828" spans="1:5" ht="10.5">
      <c r="A1828" s="1" t="s">
        <v>1604</v>
      </c>
      <c r="B1828" s="102">
        <v>0.4</v>
      </c>
      <c r="D1828" s="1">
        <v>6</v>
      </c>
      <c r="E1828" s="63">
        <v>40000</v>
      </c>
    </row>
    <row r="1829" spans="1:5" ht="10.5">
      <c r="A1829" s="1" t="s">
        <v>1605</v>
      </c>
      <c r="B1829" s="102">
        <v>0.6</v>
      </c>
      <c r="D1829" s="1">
        <v>9</v>
      </c>
      <c r="E1829" s="63">
        <v>60000</v>
      </c>
    </row>
    <row r="1830" spans="1:5" ht="10.5">
      <c r="A1830" s="1" t="s">
        <v>1606</v>
      </c>
      <c r="B1830" s="102">
        <v>0.8</v>
      </c>
      <c r="D1830" s="1">
        <v>12</v>
      </c>
      <c r="E1830" s="63">
        <v>80000</v>
      </c>
    </row>
    <row r="1831" spans="1:5" ht="10.5">
      <c r="A1831" s="1" t="s">
        <v>1607</v>
      </c>
      <c r="B1831" s="102">
        <v>1</v>
      </c>
      <c r="D1831" s="1">
        <v>15</v>
      </c>
      <c r="E1831" s="63">
        <v>100000</v>
      </c>
    </row>
    <row r="1832" spans="1:5" ht="10.5">
      <c r="A1832" s="1" t="s">
        <v>1608</v>
      </c>
      <c r="B1832" s="102">
        <v>1.2</v>
      </c>
      <c r="D1832" s="1">
        <v>18</v>
      </c>
      <c r="E1832" s="63">
        <v>120000</v>
      </c>
    </row>
    <row r="1833" spans="1:5" ht="10.5">
      <c r="A1833" s="1" t="s">
        <v>1609</v>
      </c>
      <c r="B1833" s="102">
        <v>0.2</v>
      </c>
      <c r="D1833" s="1">
        <v>3</v>
      </c>
      <c r="E1833" s="63">
        <v>15000</v>
      </c>
    </row>
    <row r="1834" spans="1:5" ht="10.5">
      <c r="A1834" s="1" t="s">
        <v>1610</v>
      </c>
      <c r="B1834" s="102">
        <v>0.4</v>
      </c>
      <c r="D1834" s="1">
        <v>6</v>
      </c>
      <c r="E1834" s="63">
        <v>30000</v>
      </c>
    </row>
    <row r="1835" spans="1:5" ht="10.5">
      <c r="A1835" s="1" t="s">
        <v>1611</v>
      </c>
      <c r="B1835" s="102">
        <v>0.6</v>
      </c>
      <c r="D1835" s="1">
        <v>9</v>
      </c>
      <c r="E1835" s="63">
        <v>45000</v>
      </c>
    </row>
    <row r="1836" spans="1:5" ht="10.5">
      <c r="A1836" s="1" t="s">
        <v>1612</v>
      </c>
      <c r="B1836" s="102">
        <v>0.8</v>
      </c>
      <c r="D1836" s="1">
        <v>12</v>
      </c>
      <c r="E1836" s="63">
        <v>60000</v>
      </c>
    </row>
    <row r="1837" spans="1:5" ht="10.5">
      <c r="A1837" s="1" t="s">
        <v>1613</v>
      </c>
      <c r="B1837" s="102">
        <v>1</v>
      </c>
      <c r="D1837" s="1">
        <v>15</v>
      </c>
      <c r="E1837" s="63">
        <v>75000</v>
      </c>
    </row>
    <row r="1838" spans="1:5" ht="10.5">
      <c r="A1838" s="1" t="s">
        <v>1614</v>
      </c>
      <c r="B1838" s="102">
        <v>1.2</v>
      </c>
      <c r="D1838" s="1">
        <v>18</v>
      </c>
      <c r="E1838" s="63">
        <v>90000</v>
      </c>
    </row>
    <row r="1839" spans="1:5" ht="10.5">
      <c r="A1839" s="1" t="s">
        <v>1615</v>
      </c>
      <c r="B1839" s="102"/>
      <c r="E1839" s="63"/>
    </row>
    <row r="1840" spans="1:12" ht="10.5">
      <c r="A1840" s="1" t="s">
        <v>1616</v>
      </c>
      <c r="B1840" s="102">
        <v>0.2</v>
      </c>
      <c r="D1840" s="1">
        <v>6</v>
      </c>
      <c r="E1840" s="63">
        <v>10000</v>
      </c>
      <c r="L1840" s="1">
        <v>1</v>
      </c>
    </row>
    <row r="1841" spans="1:12" ht="10.5">
      <c r="A1841" s="1" t="s">
        <v>1617</v>
      </c>
      <c r="B1841" s="102">
        <v>0.4</v>
      </c>
      <c r="D1841" s="1">
        <v>12</v>
      </c>
      <c r="E1841" s="63">
        <v>20000</v>
      </c>
      <c r="L1841" s="1">
        <v>2</v>
      </c>
    </row>
    <row r="1842" spans="1:12" ht="10.5">
      <c r="A1842" s="1" t="s">
        <v>186</v>
      </c>
      <c r="B1842" s="102">
        <v>0.6</v>
      </c>
      <c r="D1842" s="1">
        <v>18</v>
      </c>
      <c r="E1842" s="63">
        <v>30000</v>
      </c>
      <c r="L1842" s="1">
        <v>3</v>
      </c>
    </row>
    <row r="1843" spans="1:5" ht="10.5">
      <c r="A1843" s="1" t="s">
        <v>1618</v>
      </c>
      <c r="B1843" s="102">
        <v>0.1</v>
      </c>
      <c r="D1843" s="1" t="s">
        <v>1057</v>
      </c>
      <c r="E1843" s="63">
        <v>15000</v>
      </c>
    </row>
    <row r="1844" spans="1:5" ht="10.5">
      <c r="A1844" s="1" t="s">
        <v>1619</v>
      </c>
      <c r="B1844" s="102">
        <v>0.2</v>
      </c>
      <c r="D1844" s="1" t="s">
        <v>1059</v>
      </c>
      <c r="E1844" s="63">
        <v>30000</v>
      </c>
    </row>
    <row r="1845" spans="1:5" ht="10.5">
      <c r="A1845" s="1" t="s">
        <v>1620</v>
      </c>
      <c r="B1845" s="102">
        <v>0.3</v>
      </c>
      <c r="D1845" s="1" t="s">
        <v>1061</v>
      </c>
      <c r="E1845" s="63">
        <v>45000</v>
      </c>
    </row>
    <row r="1846" spans="1:5" ht="10.5">
      <c r="A1846" s="1" t="s">
        <v>1621</v>
      </c>
      <c r="B1846" s="102">
        <v>0.4</v>
      </c>
      <c r="D1846" s="1" t="s">
        <v>657</v>
      </c>
      <c r="E1846" s="63">
        <v>60000</v>
      </c>
    </row>
    <row r="1847" spans="1:5" ht="10.5">
      <c r="A1847" s="1" t="s">
        <v>1622</v>
      </c>
      <c r="B1847" s="102">
        <v>0.5</v>
      </c>
      <c r="D1847" s="1" t="s">
        <v>818</v>
      </c>
      <c r="E1847" s="63">
        <v>75000</v>
      </c>
    </row>
    <row r="1848" spans="1:5" ht="10.5">
      <c r="A1848" s="1" t="s">
        <v>1623</v>
      </c>
      <c r="B1848" s="102">
        <v>0.6</v>
      </c>
      <c r="D1848" s="1" t="s">
        <v>1065</v>
      </c>
      <c r="E1848" s="63">
        <v>90000</v>
      </c>
    </row>
    <row r="1849" spans="1:5" ht="10.5">
      <c r="A1849" s="1" t="s">
        <v>1624</v>
      </c>
      <c r="B1849" s="102">
        <v>0.7</v>
      </c>
      <c r="D1849" s="1" t="s">
        <v>1067</v>
      </c>
      <c r="E1849" s="63">
        <v>105000</v>
      </c>
    </row>
    <row r="1850" spans="1:5" ht="10.5">
      <c r="A1850" s="1" t="s">
        <v>1625</v>
      </c>
      <c r="B1850" s="102">
        <v>0.8</v>
      </c>
      <c r="D1850" s="1" t="s">
        <v>1069</v>
      </c>
      <c r="E1850" s="63">
        <v>120000</v>
      </c>
    </row>
    <row r="1851" spans="1:5" ht="10.5">
      <c r="A1851" s="1" t="s">
        <v>1626</v>
      </c>
      <c r="B1851" s="102">
        <v>0.9</v>
      </c>
      <c r="D1851" s="1" t="s">
        <v>1071</v>
      </c>
      <c r="E1851" s="63">
        <v>135000</v>
      </c>
    </row>
    <row r="1852" spans="1:5" ht="10.5">
      <c r="A1852" s="1" t="s">
        <v>1627</v>
      </c>
      <c r="B1852" s="102">
        <v>1</v>
      </c>
      <c r="D1852" s="1" t="s">
        <v>1073</v>
      </c>
      <c r="E1852" s="63">
        <v>150000</v>
      </c>
    </row>
    <row r="1853" spans="1:5" ht="10.5">
      <c r="A1853" s="1" t="s">
        <v>1628</v>
      </c>
      <c r="B1853" s="102">
        <v>1.1</v>
      </c>
      <c r="D1853" s="1" t="s">
        <v>1629</v>
      </c>
      <c r="E1853" s="63">
        <v>165000</v>
      </c>
    </row>
    <row r="1854" spans="1:5" ht="10.5">
      <c r="A1854" s="1" t="s">
        <v>1630</v>
      </c>
      <c r="B1854" s="102">
        <v>1.2</v>
      </c>
      <c r="D1854" s="1" t="s">
        <v>1631</v>
      </c>
      <c r="E1854" s="63">
        <v>180000</v>
      </c>
    </row>
    <row r="1855" spans="1:5" ht="10.5">
      <c r="A1855" s="1" t="s">
        <v>1632</v>
      </c>
      <c r="B1855" s="102">
        <v>0.1</v>
      </c>
      <c r="D1855" s="1">
        <v>5</v>
      </c>
      <c r="E1855" s="63">
        <v>7500</v>
      </c>
    </row>
    <row r="1856" spans="1:5" ht="10.5">
      <c r="A1856" s="1" t="s">
        <v>1633</v>
      </c>
      <c r="B1856" s="102">
        <v>0.2</v>
      </c>
      <c r="D1856" s="1">
        <v>10</v>
      </c>
      <c r="E1856" s="63">
        <v>15000</v>
      </c>
    </row>
    <row r="1857" spans="1:5" ht="10.5">
      <c r="A1857" s="1" t="s">
        <v>1634</v>
      </c>
      <c r="B1857" s="102">
        <v>0.3</v>
      </c>
      <c r="D1857" s="1">
        <v>15</v>
      </c>
      <c r="E1857" s="63">
        <v>22500</v>
      </c>
    </row>
    <row r="1858" spans="1:5" ht="10.5">
      <c r="A1858" s="1" t="s">
        <v>1635</v>
      </c>
      <c r="B1858" s="102">
        <v>0.3</v>
      </c>
      <c r="D1858" s="1" t="s">
        <v>1065</v>
      </c>
      <c r="E1858" s="63">
        <v>40000</v>
      </c>
    </row>
    <row r="1859" spans="1:5" ht="10.5">
      <c r="A1859" s="1" t="s">
        <v>1636</v>
      </c>
      <c r="B1859" s="102">
        <v>0.2</v>
      </c>
      <c r="D1859" s="1">
        <v>12</v>
      </c>
      <c r="E1859" s="63">
        <v>25000</v>
      </c>
    </row>
    <row r="1860" spans="1:5" ht="10.5">
      <c r="A1860" s="1" t="s">
        <v>1637</v>
      </c>
      <c r="B1860" s="102">
        <v>0.1</v>
      </c>
      <c r="D1860" s="1">
        <v>10</v>
      </c>
      <c r="E1860" s="63">
        <v>10000</v>
      </c>
    </row>
    <row r="1861" spans="1:5" ht="10.5">
      <c r="A1861" s="1" t="s">
        <v>1638</v>
      </c>
      <c r="B1861" s="102">
        <v>0.15</v>
      </c>
      <c r="D1861" s="1">
        <v>8</v>
      </c>
      <c r="E1861" s="63">
        <v>10000</v>
      </c>
    </row>
    <row r="1862" spans="1:18" ht="10.5">
      <c r="A1862" s="1" t="s">
        <v>1639</v>
      </c>
      <c r="B1862" s="102">
        <v>0.5</v>
      </c>
      <c r="D1862" s="1" t="s">
        <v>639</v>
      </c>
      <c r="E1862" s="63">
        <v>80000</v>
      </c>
      <c r="H1862" s="1">
        <v>1</v>
      </c>
      <c r="R1862" s="1">
        <v>1</v>
      </c>
    </row>
    <row r="1863" spans="1:18" ht="10.5">
      <c r="A1863" s="1" t="s">
        <v>1640</v>
      </c>
      <c r="B1863" s="102">
        <v>1</v>
      </c>
      <c r="D1863" s="1" t="s">
        <v>847</v>
      </c>
      <c r="E1863" s="63">
        <v>160000</v>
      </c>
      <c r="H1863" s="1">
        <v>2</v>
      </c>
      <c r="R1863" s="1">
        <v>2</v>
      </c>
    </row>
    <row r="1864" spans="1:18" ht="10.5">
      <c r="A1864" s="1" t="s">
        <v>185</v>
      </c>
      <c r="B1864" s="102">
        <v>1.5</v>
      </c>
      <c r="D1864" s="1" t="s">
        <v>1495</v>
      </c>
      <c r="E1864" s="63">
        <v>240000</v>
      </c>
      <c r="H1864" s="1">
        <v>3</v>
      </c>
      <c r="R1864" s="1">
        <v>3</v>
      </c>
    </row>
    <row r="1921" spans="1:4" ht="10.5">
      <c r="A1921" s="4" t="s">
        <v>1641</v>
      </c>
      <c r="B1921" s="4" t="s">
        <v>193</v>
      </c>
      <c r="C1921" s="4" t="s">
        <v>194</v>
      </c>
      <c r="D1921" s="4" t="s">
        <v>5</v>
      </c>
    </row>
    <row r="1922" spans="1:4" ht="10.5">
      <c r="A1922" s="1" t="s">
        <v>198</v>
      </c>
      <c r="B1922" s="1">
        <v>1</v>
      </c>
      <c r="C1922" s="1">
        <v>2</v>
      </c>
      <c r="D1922" s="1">
        <v>100</v>
      </c>
    </row>
    <row r="1923" spans="1:4" ht="10.5">
      <c r="A1923" s="1" t="s">
        <v>1642</v>
      </c>
      <c r="B1923" s="1">
        <v>1</v>
      </c>
      <c r="C1923" s="1">
        <v>3</v>
      </c>
      <c r="D1923" s="1">
        <v>300</v>
      </c>
    </row>
    <row r="1924" spans="1:4" ht="10.5">
      <c r="A1924" s="1" t="s">
        <v>1643</v>
      </c>
      <c r="B1924" s="1">
        <v>2</v>
      </c>
      <c r="C1924" s="1">
        <v>3</v>
      </c>
      <c r="D1924" s="1">
        <v>700</v>
      </c>
    </row>
    <row r="1925" spans="1:4" ht="10.5">
      <c r="A1925" s="1" t="s">
        <v>1644</v>
      </c>
      <c r="B1925" s="1">
        <v>2</v>
      </c>
      <c r="C1925" s="1">
        <v>4</v>
      </c>
      <c r="D1925" s="1">
        <v>1000</v>
      </c>
    </row>
    <row r="1926" spans="1:4" ht="10.5">
      <c r="A1926" s="1" t="s">
        <v>1645</v>
      </c>
      <c r="B1926" s="1">
        <v>3</v>
      </c>
      <c r="C1926" s="1">
        <v>3</v>
      </c>
      <c r="D1926" s="1">
        <v>1250</v>
      </c>
    </row>
    <row r="1927" spans="1:4" ht="10.5">
      <c r="A1927" s="1" t="s">
        <v>1646</v>
      </c>
      <c r="B1927" s="1">
        <v>3</v>
      </c>
      <c r="C1927" s="1">
        <v>4</v>
      </c>
      <c r="D1927" s="1">
        <v>2500</v>
      </c>
    </row>
    <row r="1928" spans="1:4" ht="10.5">
      <c r="A1928" s="1" t="s">
        <v>1647</v>
      </c>
      <c r="B1928" s="1">
        <v>4</v>
      </c>
      <c r="C1928" s="1">
        <v>3</v>
      </c>
      <c r="D1928" s="1">
        <v>3000</v>
      </c>
    </row>
    <row r="1929" spans="1:4" ht="10.5">
      <c r="A1929" s="1" t="s">
        <v>1648</v>
      </c>
      <c r="B1929" s="1">
        <v>4</v>
      </c>
      <c r="C1929" s="1">
        <v>4</v>
      </c>
      <c r="D1929" s="1">
        <v>5000</v>
      </c>
    </row>
    <row r="1930" spans="1:4" ht="10.5">
      <c r="A1930" s="1" t="s">
        <v>1649</v>
      </c>
      <c r="B1930" s="1">
        <v>4</v>
      </c>
      <c r="C1930" s="1">
        <v>5</v>
      </c>
      <c r="D1930" s="1">
        <v>8000</v>
      </c>
    </row>
    <row r="1932" spans="1:4" ht="10.5">
      <c r="A1932" s="4" t="s">
        <v>195</v>
      </c>
      <c r="B1932" s="4" t="s">
        <v>240</v>
      </c>
      <c r="C1932" s="4" t="s">
        <v>241</v>
      </c>
      <c r="D1932" s="4" t="s">
        <v>5</v>
      </c>
    </row>
    <row r="1933" spans="1:4" ht="10.5">
      <c r="A1933" s="1" t="s">
        <v>199</v>
      </c>
      <c r="B1933" s="1">
        <v>1</v>
      </c>
      <c r="C1933" s="1">
        <v>1</v>
      </c>
      <c r="D1933" s="1">
        <v>200</v>
      </c>
    </row>
    <row r="1934" spans="1:4" ht="10.5">
      <c r="A1934" s="1" t="s">
        <v>1650</v>
      </c>
      <c r="B1934" s="1">
        <v>1</v>
      </c>
      <c r="C1934" s="1">
        <v>2</v>
      </c>
      <c r="D1934" s="1">
        <v>400</v>
      </c>
    </row>
    <row r="1935" spans="1:4" ht="10.5">
      <c r="A1935" s="1" t="s">
        <v>1651</v>
      </c>
      <c r="B1935" s="1">
        <v>2</v>
      </c>
      <c r="C1935" s="1">
        <v>2</v>
      </c>
      <c r="D1935" s="1">
        <v>600</v>
      </c>
    </row>
    <row r="1936" spans="1:4" ht="10.5">
      <c r="A1936" s="1" t="s">
        <v>1652</v>
      </c>
      <c r="B1936" s="1">
        <v>2</v>
      </c>
      <c r="C1936" s="1">
        <v>3</v>
      </c>
      <c r="D1936" s="1">
        <v>800</v>
      </c>
    </row>
    <row r="1937" spans="1:4" ht="10.5">
      <c r="A1937" s="1" t="s">
        <v>1653</v>
      </c>
      <c r="B1937" s="1">
        <v>3</v>
      </c>
      <c r="C1937" s="1">
        <v>3</v>
      </c>
      <c r="D1937" s="1">
        <v>1000</v>
      </c>
    </row>
    <row r="1938" spans="1:4" ht="10.5">
      <c r="A1938" s="1" t="s">
        <v>1654</v>
      </c>
      <c r="B1938" s="1">
        <v>3</v>
      </c>
      <c r="C1938" s="1">
        <v>4</v>
      </c>
      <c r="D1938" s="1">
        <v>1500</v>
      </c>
    </row>
    <row r="1940" spans="1:2" ht="10.5">
      <c r="A1940" s="7" t="s">
        <v>193</v>
      </c>
      <c r="B1940" s="1">
        <f>Sheet1!C175</f>
        <v>1</v>
      </c>
    </row>
    <row r="1941" spans="1:2" ht="10.5">
      <c r="A1941" s="7" t="s">
        <v>194</v>
      </c>
      <c r="B1941" s="1">
        <f>Sheet1!D175</f>
        <v>2</v>
      </c>
    </row>
    <row r="1942" spans="1:2" ht="10.5">
      <c r="A1942" s="7" t="s">
        <v>240</v>
      </c>
      <c r="B1942" s="1">
        <f>Sheet1!J175</f>
        <v>1</v>
      </c>
    </row>
    <row r="1943" spans="1:2" ht="10.5">
      <c r="A1943" s="7" t="s">
        <v>241</v>
      </c>
      <c r="B1943" s="1">
        <f>Sheet1!K175</f>
        <v>1</v>
      </c>
    </row>
    <row r="1945" spans="1:2" ht="10.5">
      <c r="A1945" s="7" t="s">
        <v>1655</v>
      </c>
      <c r="B1945" s="1">
        <f>B1940+Sheet1!I17</f>
        <v>5</v>
      </c>
    </row>
    <row r="1946" spans="1:2" ht="10.5">
      <c r="A1946" s="7" t="s">
        <v>1656</v>
      </c>
      <c r="B1946" s="1">
        <f>B1940+Sheet1!I17+1</f>
        <v>6</v>
      </c>
    </row>
    <row r="1947" spans="1:2" ht="10.5">
      <c r="A1947" s="7" t="s">
        <v>1657</v>
      </c>
      <c r="B1947" s="1">
        <f>B1940+B1942</f>
        <v>2</v>
      </c>
    </row>
    <row r="1948" spans="1:2" ht="10.5">
      <c r="A1948" s="7" t="s">
        <v>1658</v>
      </c>
      <c r="B1948" s="1">
        <f>ROUNDUP(B1943/2,0)+8</f>
        <v>9</v>
      </c>
    </row>
  </sheetData>
  <mergeCells count="9">
    <mergeCell ref="C1:E1"/>
    <mergeCell ref="F1:H1"/>
    <mergeCell ref="I1:K1"/>
    <mergeCell ref="L1:N1"/>
    <mergeCell ref="O1:Q1"/>
    <mergeCell ref="R1:T1"/>
    <mergeCell ref="U1:W1"/>
    <mergeCell ref="X1:Z1"/>
    <mergeCell ref="AA1:AC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64"/>
  <sheetViews>
    <sheetView workbookViewId="0" topLeftCell="A1">
      <selection activeCell="D13" sqref="D13"/>
    </sheetView>
  </sheetViews>
  <sheetFormatPr defaultColWidth="9.140625" defaultRowHeight="12.75"/>
  <cols>
    <col min="1" max="1" width="4.00390625" style="0" customWidth="1"/>
    <col min="2" max="2" width="12.421875" style="0" customWidth="1"/>
    <col min="3" max="3" width="5.28125" style="0" customWidth="1"/>
    <col min="4" max="4" width="4.28125" style="0" customWidth="1"/>
    <col min="5" max="5" width="8.140625" style="0" customWidth="1"/>
    <col min="6" max="6" width="6.00390625" style="0" customWidth="1"/>
    <col min="7" max="7" width="3.28125" style="0" customWidth="1"/>
    <col min="8" max="8" width="9.28125" style="0" customWidth="1"/>
    <col min="9" max="11" width="2.7109375" style="0" customWidth="1"/>
    <col min="12" max="12" width="3.7109375" style="0" customWidth="1"/>
    <col min="13" max="15" width="2.7109375" style="0" customWidth="1"/>
    <col min="16" max="16" width="0.42578125" style="0" customWidth="1"/>
    <col min="17" max="17" width="12.140625" style="0" customWidth="1"/>
    <col min="18" max="18" width="4.7109375" style="0" customWidth="1"/>
    <col min="19" max="19" width="17.28125" style="0" customWidth="1"/>
    <col min="20" max="46" width="9.140625" style="103" customWidth="1"/>
  </cols>
  <sheetData>
    <row r="1" spans="2:10" ht="12.75">
      <c r="B1" s="104" t="s">
        <v>1659</v>
      </c>
      <c r="C1" s="105">
        <f>Sheet1!B3</f>
        <v>0</v>
      </c>
      <c r="J1" s="104"/>
    </row>
    <row r="2" spans="2:3" ht="12.75">
      <c r="B2" s="104" t="s">
        <v>1660</v>
      </c>
      <c r="C2" t="str">
        <f>CONCATENATE(Sheet1!B4," (",Sheet1!F5,"BP)")</f>
        <v>Human (0BP)</v>
      </c>
    </row>
    <row r="3" spans="2:3" ht="12.75">
      <c r="B3" s="104" t="s">
        <v>1661</v>
      </c>
      <c r="C3" s="105">
        <f>Sheet1!B5</f>
        <v>0</v>
      </c>
    </row>
    <row r="4" spans="2:3" ht="12.75">
      <c r="B4" s="104" t="s">
        <v>1662</v>
      </c>
      <c r="C4" s="106">
        <f>Sheet1!B1-Sheet1!H4</f>
        <v>400</v>
      </c>
    </row>
    <row r="5" spans="5:19" ht="6.75" customHeight="1">
      <c r="E5" s="107"/>
      <c r="H5" s="107"/>
      <c r="S5" s="5"/>
    </row>
    <row r="6" spans="1:19" ht="12.75">
      <c r="A6" s="108" t="str">
        <f>CONCATENATE("ATTRIBUTES (",Sheet1!F24,"BP)")</f>
        <v>ATTRIBUTES (180BP)</v>
      </c>
      <c r="B6" s="109"/>
      <c r="C6" s="109"/>
      <c r="D6" s="109"/>
      <c r="E6" s="109"/>
      <c r="F6" s="109"/>
      <c r="G6" s="109"/>
      <c r="H6" s="109"/>
      <c r="I6" s="110"/>
      <c r="J6" s="111"/>
      <c r="K6" s="108" t="s">
        <v>1663</v>
      </c>
      <c r="L6" s="109"/>
      <c r="M6" s="109"/>
      <c r="N6" s="109"/>
      <c r="O6" s="109"/>
      <c r="P6" s="109"/>
      <c r="Q6" s="109"/>
      <c r="R6" s="109"/>
      <c r="S6" s="112"/>
    </row>
    <row r="7" spans="1:19" ht="12.75">
      <c r="A7" s="113"/>
      <c r="B7" s="114" t="s">
        <v>1664</v>
      </c>
      <c r="C7" s="115" t="str">
        <f>IF(Sheet1!D11=Sheet1!I11,Sheet1!D11,CONCATENATE(Sheet1!D11,"(",Sheet1!I11,")"))</f>
        <v>3(4)</v>
      </c>
      <c r="D7" s="103"/>
      <c r="E7" s="114" t="s">
        <v>1665</v>
      </c>
      <c r="F7" s="115">
        <f>IF(Sheet1!D16=Sheet1!I16,Sheet1!D16,CONCATENATE(Sheet1!D16,"(",Sheet1!I16,")"))</f>
        <v>5</v>
      </c>
      <c r="G7" s="103"/>
      <c r="H7" s="114" t="s">
        <v>1666</v>
      </c>
      <c r="I7" s="116">
        <f>Sheet1!D21</f>
        <v>7</v>
      </c>
      <c r="K7" s="113"/>
      <c r="L7" s="103"/>
      <c r="M7" s="117" t="s">
        <v>1667</v>
      </c>
      <c r="N7" s="115">
        <f>Sheet1!I11+WornArmorBall+Tables!N1558+Tables!O1558+IF(Sheet1!$B$4="Troll",1,0)</f>
        <v>16</v>
      </c>
      <c r="O7" s="23" t="str">
        <f>CONCATENATE("= Body (",Sheet1!I11,") + Armor (",WornArmorBall+Tables!O1558+IF(Sheet1!$B$4="Troll",1,0),") + Cyber/Bio (",Tables!N1558,")")</f>
        <v>= Body (4) + Armor (9) + Cyber/Bio (3)</v>
      </c>
      <c r="P7" s="103"/>
      <c r="Q7" s="103"/>
      <c r="R7" s="103"/>
      <c r="S7" s="118"/>
    </row>
    <row r="8" spans="1:19" ht="12.75">
      <c r="A8" s="113"/>
      <c r="B8" s="114" t="s">
        <v>1668</v>
      </c>
      <c r="C8" s="115" t="str">
        <f>IF(Sheet1!D12=Sheet1!I12,Sheet1!D12,CONCATENATE(Sheet1!D12,"(",Sheet1!I12,")"))</f>
        <v>1(6)</v>
      </c>
      <c r="D8" s="103"/>
      <c r="E8" s="114" t="s">
        <v>1669</v>
      </c>
      <c r="F8" s="115">
        <f>IF(Sheet1!D17=Sheet1!I17,Sheet1!D17,CONCATENATE(Sheet1!D17,"(",Sheet1!I17,")"))</f>
        <v>4</v>
      </c>
      <c r="G8" s="103"/>
      <c r="H8" s="114" t="s">
        <v>1670</v>
      </c>
      <c r="I8" s="116">
        <f>Sheet1!M12</f>
        <v>9</v>
      </c>
      <c r="K8" s="113"/>
      <c r="L8" s="103"/>
      <c r="M8" s="117" t="s">
        <v>1671</v>
      </c>
      <c r="N8" s="115">
        <f>Sheet1!I11+WornArmorImp+Tables!N1558+Tables!P1558+IF(Sheet1!$B$4="Troll",1,0)</f>
        <v>14</v>
      </c>
      <c r="O8" s="23" t="str">
        <f>CONCATENATE("= Body (",Sheet1!I11,") + Armor (",WornArmorImp+Tables!P1558+IF(Sheet1!$B$4="Troll",1,0),") + Cyber/Bio (",Tables!N1558,")")</f>
        <v>= Body (4) + Armor (7) + Cyber/Bio (3)</v>
      </c>
      <c r="P8" s="103"/>
      <c r="Q8" s="103"/>
      <c r="R8" s="103"/>
      <c r="S8" s="118"/>
    </row>
    <row r="9" spans="1:19" ht="12.75">
      <c r="A9" s="113"/>
      <c r="B9" s="114" t="s">
        <v>1672</v>
      </c>
      <c r="C9" s="115" t="str">
        <f>IF(Sheet1!D13=Sheet1!I13,Sheet1!D13,CONCATENATE(Sheet1!D13,"(",Sheet1!I13,")"))</f>
        <v>1(5)</v>
      </c>
      <c r="D9" s="103"/>
      <c r="E9" s="114" t="s">
        <v>1673</v>
      </c>
      <c r="F9" s="115" t="str">
        <f>IF(Sheet1!D18=Sheet1!I18,Sheet1!D18,CONCATENATE(Sheet1!D18,"(",Sheet1!I18,")"))</f>
        <v>1(4)</v>
      </c>
      <c r="G9" s="103"/>
      <c r="H9" s="114">
        <f>IF(I9=0,"",IF(Sheet1!D22&gt;Sheet1!D23,"MAGIC:","RESONANCE:"))</f>
      </c>
      <c r="I9" s="119">
        <f>MAX(0,MAX(MagicStat,Sheet1!D23))</f>
        <v>0</v>
      </c>
      <c r="K9" s="120"/>
      <c r="L9" s="121"/>
      <c r="M9" s="122" t="s">
        <v>1674</v>
      </c>
      <c r="N9" s="123">
        <f>Sheet1!I11+ROUNDUP(WornArmorImp/2,0)+Tables!N1558+Tables!P1558+IF(Sheet1!$B$4="Troll",1,0)</f>
        <v>11</v>
      </c>
      <c r="O9" s="124" t="str">
        <f>CONCATENATE("= Body (",Sheet1!I11,") + Armor (",ROUNDUP((WornArmorImp+Tables!P1558+IF(Sheet1!$B$4="Troll",1,0))/2,0),") + Cyber/Bio (",Tables!N1558,")")</f>
        <v>= Body (4) + Armor (4) + Cyber/Bio (3)</v>
      </c>
      <c r="P9" s="121"/>
      <c r="Q9" s="121"/>
      <c r="R9" s="121"/>
      <c r="S9" s="125"/>
    </row>
    <row r="10" spans="1:19" ht="12.75">
      <c r="A10" s="126"/>
      <c r="B10" s="127" t="s">
        <v>1675</v>
      </c>
      <c r="C10" s="128" t="str">
        <f>IF(Sheet1!D14=Sheet1!I14,Sheet1!D14,CONCATENATE(Sheet1!D14,"(",Sheet1!I14,")"))</f>
        <v>1(6)</v>
      </c>
      <c r="D10" s="129"/>
      <c r="E10" s="127" t="s">
        <v>1676</v>
      </c>
      <c r="F10" s="128">
        <f>IF(Sheet1!D19=Sheet1!I19,Sheet1!D19,CONCATENATE(Sheet1!D19,"(",Sheet1!I19,")"))</f>
        <v>5</v>
      </c>
      <c r="G10" s="129"/>
      <c r="H10" s="129"/>
      <c r="I10" s="130"/>
      <c r="K10" s="126"/>
      <c r="L10" s="129"/>
      <c r="M10" s="129"/>
      <c r="N10" s="131" t="s">
        <v>1677</v>
      </c>
      <c r="O10" s="132" t="str">
        <f>CONCATENATE(IF(Sheet1!A172=0,"None",Sheet1!A172)," - (",ArmorPenalty," Armor Penalty)")</f>
        <v>Armor Jacket - (0 Armor Penalty)</v>
      </c>
      <c r="P10" s="129"/>
      <c r="Q10" s="129"/>
      <c r="R10" s="129"/>
      <c r="S10" s="130"/>
    </row>
    <row r="12" spans="1:19" ht="12.75">
      <c r="A12" s="108" t="str">
        <f>CONCATENATE("ACTIVE SKILLS (",Sheet1!I68+Sheet1!J75,"BP)")</f>
        <v>ACTIVE SKILLS (92BP)</v>
      </c>
      <c r="B12" s="109"/>
      <c r="C12" s="109"/>
      <c r="D12" s="109"/>
      <c r="E12" s="109"/>
      <c r="F12" s="110"/>
      <c r="G12" s="133"/>
      <c r="I12" s="134" t="s">
        <v>1678</v>
      </c>
      <c r="J12" s="134"/>
      <c r="K12" s="134"/>
      <c r="L12" s="134"/>
      <c r="M12" s="134"/>
      <c r="N12" s="134"/>
      <c r="O12" s="134"/>
      <c r="Q12" s="115" t="str">
        <f>CONCATENATE("INITIATIVE PASSES: ",MIN(4,1+MAX(Tables!Q1558,AdeptInitPass)))</f>
        <v>INITIATIVE PASSES: 4</v>
      </c>
      <c r="R12" s="115"/>
      <c r="S12" s="115"/>
    </row>
    <row r="13" spans="1:19" ht="12.75">
      <c r="A13" s="135" t="str">
        <f>Tables!A1249</f>
        <v>Athletics Skill Group
  + Climbing (Strength)
  + Gymnastics (Agility)
  + Running (Strength)
  + Swimming (Strength)
Perception (Intuition)
Stealth Skill Group
  + Disguise (Intuition)
  + Infiltration (Willpower)
  + Palming (Intuition)
  + Shadowing (Intuition)
</v>
      </c>
      <c r="B13" s="135"/>
      <c r="C13" s="135"/>
      <c r="D13" s="136" t="str">
        <f>Tables!B1249</f>
        <v>4
3
4
</v>
      </c>
      <c r="E13" s="137" t="str">
        <f>Tables!D1249</f>
        <v>
</v>
      </c>
      <c r="F13" s="137"/>
      <c r="G13" s="138"/>
      <c r="I13" s="139" t="s">
        <v>523</v>
      </c>
      <c r="J13" s="139"/>
      <c r="K13" s="139"/>
      <c r="L13" s="103"/>
      <c r="M13" s="140" t="s">
        <v>1679</v>
      </c>
      <c r="N13" s="140"/>
      <c r="O13" s="140"/>
      <c r="Q13" s="128"/>
      <c r="R13" s="128"/>
      <c r="S13" s="128"/>
    </row>
    <row r="14" spans="1:19" ht="12.75">
      <c r="A14" s="135"/>
      <c r="B14" s="135"/>
      <c r="C14" s="135"/>
      <c r="D14" s="136"/>
      <c r="E14" s="137"/>
      <c r="F14" s="137"/>
      <c r="G14" s="138"/>
      <c r="I14" s="141"/>
      <c r="J14" s="142">
        <f>IF(COUNTIF(NegQualTaken,"Low Pain Tolerance")&gt;0,-1,0)</f>
        <v>0</v>
      </c>
      <c r="K14" s="143">
        <f>IF(COUNTIF(NegQualTaken,"Low Pain Tolerance")&gt;0,0,-1)+IF(COUNTIF(PosQualTaken,"High Pain Tolerance I")&gt;0,1,0)+IF(COUNTIF(PosQualTaken,"High Pain Tolerance II")&gt;0,1,0)+IF(COUNTIF(PosQualTaken,"High Pain Tolerance III")&gt;0,1,0)</f>
        <v>-1</v>
      </c>
      <c r="L14" s="103"/>
      <c r="M14" s="143"/>
      <c r="N14" s="143">
        <f>IF(COUNTIF(NegQualTaken,"Low Pain Tolerance")&gt;0,-1,0)</f>
        <v>0</v>
      </c>
      <c r="O14" s="144">
        <f>IF(COUNTIF(NegQualTaken,"Low Pain Tolerance")&gt;0,0,-1)+IF(COUNTIF(PosQualTaken,"High Pain Tolerance I")&gt;0,1,0)+IF(COUNTIF(PosQualTaken,"High Pain Tolerance II")&gt;0,1,0)+IF(COUNTIF(PosQualTaken,"High Pain Tolerance III")&gt;0,1,0)</f>
        <v>-1</v>
      </c>
      <c r="Q14" s="134" t="s">
        <v>1680</v>
      </c>
      <c r="R14" s="134"/>
      <c r="S14" s="134"/>
    </row>
    <row r="15" spans="1:19" ht="12.75">
      <c r="A15" s="135"/>
      <c r="B15" s="135"/>
      <c r="C15" s="135"/>
      <c r="D15" s="136"/>
      <c r="E15" s="137"/>
      <c r="F15" s="137"/>
      <c r="G15" s="138"/>
      <c r="I15" s="141">
        <f>IF(COUNTIF(NegQualTaken,"Low Pain Tolerance")&gt;0,-2,0)+IF(COUNTIF(PosQualTaken,"High Pain Tolerance I")&gt;0,-1,0)</f>
        <v>0</v>
      </c>
      <c r="J15" s="143">
        <f>IF(COUNTIF(PosQualTaken,"High Pain Tolerance II")&gt;0,-1,0)</f>
        <v>0</v>
      </c>
      <c r="K15" s="143">
        <f>IF(COUNTIF(NegQualTaken,"Low Pain Tolerance")&gt;0,-3,-2)+IF(COUNTIF(PosQualTaken,"High Pain Tolerance I")&gt;0,2,0)+IF(COUNTIF(PosQualTaken,"High Pain Tolerance II")&gt;0,2,0)+IF(COUNTIF(PosQualTaken,"High Pain Tolerance III")&gt;0,1,0)</f>
        <v>-2</v>
      </c>
      <c r="L15" s="103"/>
      <c r="M15" s="143">
        <f>IF(COUNTIF(NegQualTaken,"Low Pain Tolerance")&gt;0,-2,0)+IF(COUNTIF(PosQualTaken,"High Pain Tolerance I")&gt;0,-1,0)</f>
        <v>0</v>
      </c>
      <c r="N15" s="143">
        <f>IF(COUNTIF(PosQualTaken,"High Pain Tolerance II")&gt;0,-1,0)</f>
        <v>0</v>
      </c>
      <c r="O15" s="144">
        <f>IF(COUNTIF(NegQualTaken,"Low Pain Tolerance")&gt;0,-3,-2)+IF(COUNTIF(PosQualTaken,"High Pain Tolerance I")&gt;0,2,0)+IF(COUNTIF(PosQualTaken,"High Pain Tolerance II")&gt;0,2,0)+IF(COUNTIF(PosQualTaken,"High Pain Tolerance III")&gt;0,1,0)</f>
        <v>-2</v>
      </c>
      <c r="Q15" s="145" t="str">
        <f>CHOOSE(I7,"O","OO","OOO","OOOO","OOOOO","OOOOOO","OOOOOOO","OOOOOOOO")</f>
        <v>OOOOOOO</v>
      </c>
      <c r="R15" s="145"/>
      <c r="S15" s="145"/>
    </row>
    <row r="16" spans="1:19" ht="12.75">
      <c r="A16" s="135"/>
      <c r="B16" s="135"/>
      <c r="C16" s="135"/>
      <c r="D16" s="136"/>
      <c r="E16" s="137"/>
      <c r="F16" s="137"/>
      <c r="G16" s="138"/>
      <c r="I16" s="141"/>
      <c r="J16" s="143">
        <f>IF(COUNTIF(NegQualTaken,"Low Pain Tolerance")&gt;0,-4,0)+IF(COUNTIF(PosQualTaken,"High Pain Tolerance I")&gt;0,-2,0)</f>
        <v>0</v>
      </c>
      <c r="K16" s="143">
        <f>IF(COUNTIF(NegQualTaken,"Low Pain Tolerance")&gt;0,0,-3)+IF(COUNTIF(PosQualTaken,"High Pain Tolerance I")&gt;0,3,0)+IF(COUNTIF(PosQualTaken,"High Pain Tolerance II")&gt;0,3,0)+IF(COUNTIF(PosQualTaken,"High Pain Tolerance III")&gt;0,3,0)</f>
        <v>-3</v>
      </c>
      <c r="L16" s="103"/>
      <c r="M16" s="143"/>
      <c r="N16" s="143">
        <f>IF(COUNTIF(NegQualTaken,"Low Pain Tolerance")&gt;0,-4,0)+IF(COUNTIF(PosQualTaken,"High Pain Tolerance I")&gt;0,-2,0)</f>
        <v>0</v>
      </c>
      <c r="O16" s="144">
        <f>IF(COUNTIF(NegQualTaken,"Low Pain Tolerance")&gt;0,0,-3)+IF(COUNTIF(PosQualTaken,"High Pain Tolerance I")&gt;0,3,0)+IF(COUNTIF(PosQualTaken,"High Pain Tolerance II")&gt;0,3,0)+IF(COUNTIF(PosQualTaken,"High Pain Tolerance III")&gt;0,3,0)</f>
        <v>-3</v>
      </c>
      <c r="Q16" s="145"/>
      <c r="R16" s="145"/>
      <c r="S16" s="145"/>
    </row>
    <row r="17" spans="1:15" ht="12.75">
      <c r="A17" s="135"/>
      <c r="B17" s="135"/>
      <c r="C17" s="135"/>
      <c r="D17" s="136"/>
      <c r="E17" s="137"/>
      <c r="F17" s="137"/>
      <c r="G17" s="138"/>
      <c r="I17" s="141">
        <f>IF(COUNTIF(NegQualTaken,"Low Pain Tolerance")&gt;0,-5,0)+IF(COUNTIF(PosQualTaken,"High Pain Tolerance II")&gt;0,-2,0)</f>
        <v>0</v>
      </c>
      <c r="J17" s="143"/>
      <c r="K17" s="143">
        <f>IF(COUNTIF(NegQualTaken,"Low Pain Tolerance")&gt;0,-6,-4)+IF(COUNTIF(PosQualTaken,"High Pain Tolerance I")&gt;0,1,0)+IF(COUNTIF(PosQualTaken,"High Pain Tolerance II")&gt;0,4,0)+IF(COUNTIF(PosQualTaken,"High Pain Tolerance III")&gt;0,2,0)</f>
        <v>-4</v>
      </c>
      <c r="L17" s="103"/>
      <c r="M17" s="143">
        <f>IF(COUNTIF(NegQualTaken,"Low Pain Tolerance")&gt;0,-5,0)+IF(COUNTIF(PosQualTaken,"High Pain Tolerance II")&gt;0,-2,0)</f>
        <v>0</v>
      </c>
      <c r="N17" s="143"/>
      <c r="O17" s="144">
        <f>IF(COUNTIF(NegQualTaken,"Low Pain Tolerance")&gt;0,-6,-4)+IF(COUNTIF(PosQualTaken,"High Pain Tolerance I")&gt;0,1,0)+IF(COUNTIF(PosQualTaken,"High Pain Tolerance II")&gt;0,4,0)+IF(COUNTIF(PosQualTaken,"High Pain Tolerance III")&gt;0,2,0)</f>
        <v>-4</v>
      </c>
    </row>
    <row r="18" spans="1:19" ht="12.75">
      <c r="A18" s="135"/>
      <c r="B18" s="135"/>
      <c r="C18" s="135"/>
      <c r="D18" s="136"/>
      <c r="E18" s="137"/>
      <c r="F18" s="137"/>
      <c r="G18" s="138"/>
      <c r="I18" s="141"/>
      <c r="J18" s="143">
        <f>IF(COUNTIF(NegQualTaken,"Low Pain Tolerance")&gt;0,-7,0)</f>
        <v>0</v>
      </c>
      <c r="K18" s="143">
        <f>IF(COUNTIF(NegQualTaken,"Low Pain Tolerance")&gt;0,0,-5)+IF(COUNTIF(PosQualTaken,"High Pain Tolerance I")&gt;0,5,0)+IF(COUNTIF(PosQualTaken,"High Pain Tolerance II")&gt;0,2,0)+IF(COUNTIF(PosQualTaken,"High Pain Tolerance III")&gt;0,5,0)</f>
        <v>-5</v>
      </c>
      <c r="L18" s="103"/>
      <c r="M18" s="143"/>
      <c r="N18" s="143">
        <f>IF(COUNTIF(NegQualTaken,"Low Pain Tolerance")&gt;0,-7,0)</f>
        <v>0</v>
      </c>
      <c r="O18" s="144">
        <f>IF(COUNTIF(NegQualTaken,"Low Pain Tolerance")&gt;0,0,-5)+IF(COUNTIF(PosQualTaken,"High Pain Tolerance I")&gt;0,5,0)+IF(COUNTIF(PosQualTaken,"High Pain Tolerance II")&gt;0,2,0)+IF(COUNTIF(PosQualTaken,"High Pain Tolerance III")&gt;0,5,0)</f>
        <v>-5</v>
      </c>
      <c r="Q18" s="134" t="s">
        <v>1681</v>
      </c>
      <c r="R18" s="134"/>
      <c r="S18" s="134"/>
    </row>
    <row r="19" spans="1:19" ht="12.75">
      <c r="A19" s="135"/>
      <c r="B19" s="135"/>
      <c r="C19" s="135"/>
      <c r="D19" s="136"/>
      <c r="E19" s="137"/>
      <c r="F19" s="137"/>
      <c r="G19" s="138"/>
      <c r="I19" s="146">
        <f>IF(COUNTIF(NegQualTaken,"Low Pain Tolerance")&gt;0,-8,0)+IF(COUNTIF(PosQualTaken,"High Pain Tolerance I")&gt;0,-4,0)</f>
        <v>0</v>
      </c>
      <c r="J19" s="147"/>
      <c r="K19" s="147">
        <f>IF(COUNTIF(NegQualTaken,"Low Pain Tolerance")&gt;0,-9,-6)+IF(COUNTIF(PosQualTaken,"High Pain Tolerance I")&gt;0,6,0)+IF(COUNTIF(PosQualTaken,"High Pain Tolerance II")&gt;0,6,0)+IF(COUNTIF(PosQualTaken,"High Pain Tolerance III")&gt;0,3,0)</f>
        <v>-6</v>
      </c>
      <c r="L19" s="129"/>
      <c r="M19" s="147">
        <f>IF(COUNTIF(NegQualTaken,"Low Pain Tolerance")&gt;0,-8,0)+IF(COUNTIF(PosQualTaken,"High Pain Tolerance I")&gt;0,-4,0)</f>
        <v>0</v>
      </c>
      <c r="N19" s="147"/>
      <c r="O19" s="148">
        <f>IF(COUNTIF(NegQualTaken,"Low Pain Tolerance")&gt;0,-9,-6)+IF(COUNTIF(PosQualTaken,"High Pain Tolerance I")&gt;0,6,0)+IF(COUNTIF(PosQualTaken,"High Pain Tolerance II")&gt;0,6,0)+IF(COUNTIF(PosQualTaken,"High Pain Tolerance III")&gt;0,3,0)</f>
        <v>-6</v>
      </c>
      <c r="Q19" s="149" t="str">
        <f>CONCATENATE(Tables!E8,Tables!F8)</f>
        <v>OOOO</v>
      </c>
      <c r="R19" s="149"/>
      <c r="S19" s="149"/>
    </row>
    <row r="20" spans="1:7" ht="12.75">
      <c r="A20" s="135"/>
      <c r="B20" s="135"/>
      <c r="C20" s="135"/>
      <c r="D20" s="136"/>
      <c r="E20" s="137"/>
      <c r="F20" s="137"/>
      <c r="G20" s="138"/>
    </row>
    <row r="21" spans="1:19" ht="12.75">
      <c r="A21" s="135"/>
      <c r="B21" s="135"/>
      <c r="C21" s="135"/>
      <c r="D21" s="136"/>
      <c r="E21" s="137"/>
      <c r="F21" s="137"/>
      <c r="G21" s="138"/>
      <c r="H21" s="108" t="s">
        <v>192</v>
      </c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10"/>
    </row>
    <row r="22" spans="1:19" ht="12.75">
      <c r="A22" s="135"/>
      <c r="B22" s="135"/>
      <c r="C22" s="135"/>
      <c r="D22" s="136"/>
      <c r="E22" s="137"/>
      <c r="F22" s="137"/>
      <c r="G22" s="138"/>
      <c r="H22" s="150" t="s">
        <v>157</v>
      </c>
      <c r="I22" s="124"/>
      <c r="J22" s="124"/>
      <c r="K22" s="151"/>
      <c r="L22" s="151" t="s">
        <v>979</v>
      </c>
      <c r="M22" s="151"/>
      <c r="N22" s="152" t="s">
        <v>194</v>
      </c>
      <c r="O22" s="152"/>
      <c r="P22" s="152"/>
      <c r="Q22" s="152" t="s">
        <v>1682</v>
      </c>
      <c r="R22" s="152" t="s">
        <v>196</v>
      </c>
      <c r="S22" s="153" t="s">
        <v>241</v>
      </c>
    </row>
    <row r="23" spans="1:19" ht="12.75">
      <c r="A23" s="135"/>
      <c r="B23" s="135"/>
      <c r="C23" s="135"/>
      <c r="D23" s="136"/>
      <c r="E23" s="137"/>
      <c r="F23" s="137"/>
      <c r="G23" s="138"/>
      <c r="H23" s="154" t="str">
        <f>IF(OR(Sheet1!C176&gt;0,Sheet1!D176&gt;0)=TRUE,CONCATENATE(Sheet1!A175," (custom)"),Sheet1!A175)</f>
        <v>Meta Link</v>
      </c>
      <c r="I23" s="154"/>
      <c r="J23" s="154"/>
      <c r="K23" s="154"/>
      <c r="L23" s="155">
        <f>Sheet1!C177</f>
        <v>1</v>
      </c>
      <c r="M23" s="155"/>
      <c r="N23" s="156">
        <f>Sheet1!D177</f>
        <v>2</v>
      </c>
      <c r="O23" s="156"/>
      <c r="P23" s="156"/>
      <c r="Q23" s="157" t="str">
        <f>Sheet1!H175</f>
        <v>Vector Xim</v>
      </c>
      <c r="R23" s="158">
        <f>Sheet1!J175</f>
        <v>1</v>
      </c>
      <c r="S23" s="51">
        <f>Sheet1!K175</f>
        <v>1</v>
      </c>
    </row>
    <row r="24" spans="1:7" ht="12.75">
      <c r="A24" s="135"/>
      <c r="B24" s="135"/>
      <c r="C24" s="135"/>
      <c r="D24" s="136"/>
      <c r="E24" s="137"/>
      <c r="F24" s="137"/>
      <c r="G24" s="138"/>
    </row>
    <row r="25" spans="1:19" ht="12.75" customHeight="1">
      <c r="A25" s="159"/>
      <c r="B25" s="159"/>
      <c r="C25" s="159"/>
      <c r="D25" s="160"/>
      <c r="E25" s="161"/>
      <c r="F25" s="161"/>
      <c r="G25" s="138"/>
      <c r="H25" s="108" t="s">
        <v>1683</v>
      </c>
      <c r="I25" s="109"/>
      <c r="J25" s="109"/>
      <c r="K25" s="109"/>
      <c r="L25" s="109"/>
      <c r="M25" s="109"/>
      <c r="N25" s="109"/>
      <c r="O25" s="162" t="str">
        <f>CONCATENATE("ESSENCE: ",6-Sheet1!B169)</f>
        <v>ESSENCE: 0.35</v>
      </c>
      <c r="Q25" s="108" t="s">
        <v>137</v>
      </c>
      <c r="R25" s="163"/>
      <c r="S25" s="164" t="str">
        <f>CONCATENATE("(",Sheet1!B115,"BP - ",Sheet1!C115,"¥)")</f>
        <v>(117BP - 585000¥)</v>
      </c>
    </row>
    <row r="26" spans="1:19" ht="12.75">
      <c r="A26" s="108" t="str">
        <f>CONCATENATE("KNOWLEDGE SKILLS (",(Sheet1!D17+Sheet1!D18)*3," FREE BP)")</f>
        <v>KNOWLEDGE SKILLS (15 FREE BP)</v>
      </c>
      <c r="B26" s="109"/>
      <c r="C26" s="109"/>
      <c r="D26" s="109"/>
      <c r="E26" s="109"/>
      <c r="F26" s="110"/>
      <c r="G26" s="138"/>
      <c r="H26" s="165" t="str">
        <f>Tables!AC1560</f>
        <v>Skillwires V
Bone Lacing, Titanium
Suprathyroid Gland
Muscle Augmentation IV
Muscle Toner IV
Synaptic Booster III
Cerebral Booster III
</v>
      </c>
      <c r="I26" s="165"/>
      <c r="J26" s="165"/>
      <c r="K26" s="165"/>
      <c r="L26" s="165"/>
      <c r="M26" s="165"/>
      <c r="N26" s="165"/>
      <c r="O26" s="165"/>
      <c r="Q26" s="166" t="str">
        <f>CONCATENATE("Starting Cash: ",Sheet1!B120)</f>
        <v>Starting Cash: (3D6+0) x 50 ¥</v>
      </c>
      <c r="R26" s="166"/>
      <c r="S26" s="166"/>
    </row>
    <row r="27" spans="1:19" ht="12.75" customHeight="1">
      <c r="A27" s="167">
        <f>Tables!A1282</f>
      </c>
      <c r="B27" s="167"/>
      <c r="C27" s="167"/>
      <c r="D27" s="136">
        <f>Tables!B1282</f>
      </c>
      <c r="E27" s="168" t="str">
        <f>Tables!A1293</f>
        <v>English
</v>
      </c>
      <c r="F27" s="169" t="str">
        <f>Tables!B1293</f>
        <v>N
</v>
      </c>
      <c r="G27" s="138"/>
      <c r="H27" s="165"/>
      <c r="I27" s="165"/>
      <c r="J27" s="165"/>
      <c r="K27" s="165"/>
      <c r="L27" s="165"/>
      <c r="M27" s="165"/>
      <c r="N27" s="165"/>
      <c r="O27" s="165"/>
      <c r="Q27" s="170" t="str">
        <f>CONCATENATE("Lifestyle: ",Sheet1!B117," for ",Sheet1!C118," month(s)")</f>
        <v>Lifestyle: Low for 1 month(s)</v>
      </c>
      <c r="R27" s="170"/>
      <c r="S27" s="170"/>
    </row>
    <row r="28" spans="1:19" ht="12.75" customHeight="1">
      <c r="A28" s="167"/>
      <c r="B28" s="167"/>
      <c r="C28" s="167"/>
      <c r="D28" s="136"/>
      <c r="E28" s="168"/>
      <c r="F28" s="169"/>
      <c r="G28" s="138"/>
      <c r="H28" s="165"/>
      <c r="I28" s="165"/>
      <c r="J28" s="165"/>
      <c r="K28" s="165"/>
      <c r="L28" s="165"/>
      <c r="M28" s="165"/>
      <c r="N28" s="165"/>
      <c r="O28" s="165"/>
      <c r="Q28" s="171" t="str">
        <f>Tables!A920</f>
        <v>Activesoft (Rating 4) - Unarmed Combat
Activesoft (Rating 4) - Pistols
Activesoft (Rating 4) - Hacking
Activesoft (Rating 3) - Etiquette
Activesoft (Rating 4) - Pilot Aircraft
Activesoft (Rating 3) - Pilot Ground Craft
Activesoft (Rating 3) - Pilot Watercraft
Activesoft (Rating 3) - Hardware
Activesoft (Rating 3) - First-Aid
Activesoft (Rating 3) - Survival
Activesoft (Rating 3) - Navigation
Activesoft (Rating 3) - Tracking
Activesoft (Rating 3) - Automotive Mechanic
Activesoft (Rating 4) - Security Design
Activesoft (Rating 3) - Blades
Knowsoft (Rating 5) - Security Design
Knowsoft (Rating 5) - Security Design
Subvocal Microphone
Contact Lenses
  + Image Link
  + Thermographic
  + Flare Compensation
  + Vision Magnification
  + Low Light
  + Smartlink
  + Vision Enhancement III
Ares Predator IV
15 x APDS Rounds
15 x Gel Rounds
</v>
      </c>
      <c r="R28" s="171"/>
      <c r="S28" s="171"/>
    </row>
    <row r="29" spans="1:19" ht="12.75" customHeight="1">
      <c r="A29" s="167"/>
      <c r="B29" s="167"/>
      <c r="C29" s="167"/>
      <c r="D29" s="136"/>
      <c r="E29" s="168"/>
      <c r="F29" s="169"/>
      <c r="G29" s="138"/>
      <c r="H29" s="165"/>
      <c r="I29" s="165"/>
      <c r="J29" s="165"/>
      <c r="K29" s="165"/>
      <c r="L29" s="165"/>
      <c r="M29" s="165"/>
      <c r="N29" s="165"/>
      <c r="O29" s="165"/>
      <c r="Q29" s="171"/>
      <c r="R29" s="171"/>
      <c r="S29" s="171"/>
    </row>
    <row r="30" spans="1:19" ht="12.75">
      <c r="A30" s="167"/>
      <c r="B30" s="167"/>
      <c r="C30" s="167"/>
      <c r="D30" s="136"/>
      <c r="E30" s="168"/>
      <c r="F30" s="169"/>
      <c r="G30" s="138"/>
      <c r="H30" s="165"/>
      <c r="I30" s="165"/>
      <c r="J30" s="165"/>
      <c r="K30" s="165"/>
      <c r="L30" s="165"/>
      <c r="M30" s="165"/>
      <c r="N30" s="165"/>
      <c r="O30" s="165"/>
      <c r="Q30" s="171"/>
      <c r="R30" s="171"/>
      <c r="S30" s="171"/>
    </row>
    <row r="31" spans="1:19" ht="12.75">
      <c r="A31" s="167"/>
      <c r="B31" s="167"/>
      <c r="C31" s="167"/>
      <c r="D31" s="136"/>
      <c r="E31" s="168"/>
      <c r="F31" s="169"/>
      <c r="G31" s="138"/>
      <c r="H31" s="165"/>
      <c r="I31" s="165"/>
      <c r="J31" s="165"/>
      <c r="K31" s="165"/>
      <c r="L31" s="165"/>
      <c r="M31" s="165"/>
      <c r="N31" s="165"/>
      <c r="O31" s="165"/>
      <c r="Q31" s="171"/>
      <c r="R31" s="171"/>
      <c r="S31" s="171"/>
    </row>
    <row r="32" spans="1:19" ht="12.75">
      <c r="A32" s="167"/>
      <c r="B32" s="167"/>
      <c r="C32" s="167"/>
      <c r="D32" s="136"/>
      <c r="E32" s="168"/>
      <c r="F32" s="169"/>
      <c r="G32" s="138"/>
      <c r="H32" s="165"/>
      <c r="I32" s="165"/>
      <c r="J32" s="165"/>
      <c r="K32" s="165"/>
      <c r="L32" s="165"/>
      <c r="M32" s="165"/>
      <c r="N32" s="165"/>
      <c r="O32" s="165"/>
      <c r="Q32" s="171"/>
      <c r="R32" s="171"/>
      <c r="S32" s="171"/>
    </row>
    <row r="33" spans="1:19" ht="12.75">
      <c r="A33" s="167"/>
      <c r="B33" s="167"/>
      <c r="C33" s="167"/>
      <c r="D33" s="136"/>
      <c r="E33" s="168"/>
      <c r="F33" s="169"/>
      <c r="G33" s="138"/>
      <c r="H33" s="165"/>
      <c r="I33" s="165"/>
      <c r="J33" s="165"/>
      <c r="K33" s="165"/>
      <c r="L33" s="165"/>
      <c r="M33" s="165"/>
      <c r="N33" s="165"/>
      <c r="O33" s="165"/>
      <c r="Q33" s="171"/>
      <c r="R33" s="171"/>
      <c r="S33" s="171"/>
    </row>
    <row r="34" spans="1:19" ht="14.25" customHeight="1">
      <c r="A34" s="103"/>
      <c r="B34" s="103"/>
      <c r="C34" s="103"/>
      <c r="D34" s="103"/>
      <c r="E34" s="103"/>
      <c r="F34" s="103"/>
      <c r="H34" s="165"/>
      <c r="I34" s="165"/>
      <c r="J34" s="165"/>
      <c r="K34" s="165"/>
      <c r="L34" s="165"/>
      <c r="M34" s="165"/>
      <c r="N34" s="165"/>
      <c r="O34" s="165"/>
      <c r="Q34" s="171"/>
      <c r="R34" s="171"/>
      <c r="S34" s="171"/>
    </row>
    <row r="35" spans="1:19" ht="12.75">
      <c r="A35" s="108" t="str">
        <f>CONCATENATE("QUALITIES (",Sheet1!I90,"BP)")</f>
        <v>QUALITIES (0BP)</v>
      </c>
      <c r="B35" s="109"/>
      <c r="C35" s="109"/>
      <c r="D35" s="109"/>
      <c r="E35" s="110"/>
      <c r="F35" s="133"/>
      <c r="H35" s="165"/>
      <c r="I35" s="165"/>
      <c r="J35" s="165"/>
      <c r="K35" s="165"/>
      <c r="L35" s="165"/>
      <c r="M35" s="165"/>
      <c r="N35" s="165"/>
      <c r="O35" s="165"/>
      <c r="Q35" s="171"/>
      <c r="R35" s="171"/>
      <c r="S35" s="171"/>
    </row>
    <row r="36" spans="1:19" ht="12.75">
      <c r="A36" s="172">
        <f>Tables!A1326</f>
      </c>
      <c r="B36" s="172"/>
      <c r="C36" s="172"/>
      <c r="D36" s="172"/>
      <c r="E36" s="173">
        <f>Tables!B1326</f>
      </c>
      <c r="H36" s="165"/>
      <c r="I36" s="165"/>
      <c r="J36" s="165"/>
      <c r="K36" s="165"/>
      <c r="L36" s="165"/>
      <c r="M36" s="165"/>
      <c r="N36" s="165"/>
      <c r="O36" s="165"/>
      <c r="Q36" s="171"/>
      <c r="R36" s="171"/>
      <c r="S36" s="171"/>
    </row>
    <row r="37" spans="1:19" ht="12.75">
      <c r="A37" s="172"/>
      <c r="B37" s="172"/>
      <c r="C37" s="172"/>
      <c r="D37" s="172"/>
      <c r="E37" s="173"/>
      <c r="F37" s="174"/>
      <c r="H37" s="165"/>
      <c r="I37" s="165"/>
      <c r="J37" s="165"/>
      <c r="K37" s="165"/>
      <c r="L37" s="165"/>
      <c r="M37" s="165"/>
      <c r="N37" s="165"/>
      <c r="O37" s="165"/>
      <c r="Q37" s="171"/>
      <c r="R37" s="171"/>
      <c r="S37" s="171"/>
    </row>
    <row r="38" spans="1:19" ht="12.75">
      <c r="A38" s="172"/>
      <c r="B38" s="172"/>
      <c r="C38" s="172"/>
      <c r="D38" s="172"/>
      <c r="E38" s="173"/>
      <c r="F38" s="174"/>
      <c r="H38" s="165"/>
      <c r="I38" s="165"/>
      <c r="J38" s="165"/>
      <c r="K38" s="165"/>
      <c r="L38" s="165"/>
      <c r="M38" s="165"/>
      <c r="N38" s="165"/>
      <c r="O38" s="165"/>
      <c r="Q38" s="171"/>
      <c r="R38" s="171"/>
      <c r="S38" s="171"/>
    </row>
    <row r="39" spans="1:19" ht="12.75">
      <c r="A39" s="172"/>
      <c r="B39" s="172"/>
      <c r="C39" s="172"/>
      <c r="D39" s="172"/>
      <c r="E39" s="173"/>
      <c r="F39" s="174"/>
      <c r="H39" s="165"/>
      <c r="I39" s="165"/>
      <c r="J39" s="165"/>
      <c r="K39" s="165"/>
      <c r="L39" s="165"/>
      <c r="M39" s="165"/>
      <c r="N39" s="165"/>
      <c r="O39" s="165"/>
      <c r="Q39" s="171"/>
      <c r="R39" s="171"/>
      <c r="S39" s="171"/>
    </row>
    <row r="40" spans="1:19" ht="12.75">
      <c r="A40" s="172"/>
      <c r="B40" s="172"/>
      <c r="C40" s="172"/>
      <c r="D40" s="172"/>
      <c r="E40" s="173"/>
      <c r="F40" s="174"/>
      <c r="H40" s="165"/>
      <c r="I40" s="165"/>
      <c r="J40" s="165"/>
      <c r="K40" s="165"/>
      <c r="L40" s="165"/>
      <c r="M40" s="165"/>
      <c r="N40" s="165"/>
      <c r="O40" s="165"/>
      <c r="Q40" s="171"/>
      <c r="R40" s="171"/>
      <c r="S40" s="171"/>
    </row>
    <row r="41" spans="1:19" ht="12.75">
      <c r="A41" s="172"/>
      <c r="B41" s="172"/>
      <c r="C41" s="172"/>
      <c r="D41" s="172"/>
      <c r="E41" s="173"/>
      <c r="F41" s="174"/>
      <c r="H41" s="165"/>
      <c r="I41" s="165"/>
      <c r="J41" s="165"/>
      <c r="K41" s="165"/>
      <c r="L41" s="165"/>
      <c r="M41" s="165"/>
      <c r="N41" s="165"/>
      <c r="O41" s="165"/>
      <c r="Q41" s="171"/>
      <c r="R41" s="171"/>
      <c r="S41" s="171"/>
    </row>
    <row r="42" spans="1:19" ht="12.75">
      <c r="A42" s="172"/>
      <c r="B42" s="172"/>
      <c r="C42" s="172"/>
      <c r="D42" s="172"/>
      <c r="E42" s="173"/>
      <c r="F42" s="174"/>
      <c r="H42" s="165"/>
      <c r="I42" s="165"/>
      <c r="J42" s="165"/>
      <c r="K42" s="165"/>
      <c r="L42" s="165"/>
      <c r="M42" s="165"/>
      <c r="N42" s="165"/>
      <c r="O42" s="165"/>
      <c r="Q42" s="171"/>
      <c r="R42" s="171"/>
      <c r="S42" s="171"/>
    </row>
    <row r="43" spans="1:19" ht="6.75" customHeight="1">
      <c r="A43" s="174"/>
      <c r="B43" s="174"/>
      <c r="C43" s="174"/>
      <c r="D43" s="174"/>
      <c r="E43" s="174"/>
      <c r="F43" s="174"/>
      <c r="Q43" s="171"/>
      <c r="R43" s="171"/>
      <c r="S43" s="171"/>
    </row>
    <row r="44" spans="1:19" ht="12.75">
      <c r="A44" s="108" t="str">
        <f>CONCATENATE("CONTACTS (",Sheet1!K99,"BP)")</f>
        <v>CONTACTS (11BP)</v>
      </c>
      <c r="B44" s="109"/>
      <c r="C44" s="109"/>
      <c r="D44" s="109"/>
      <c r="E44" s="109"/>
      <c r="F44" s="110"/>
      <c r="H44" s="108" t="s">
        <v>634</v>
      </c>
      <c r="I44" s="109"/>
      <c r="J44" s="109"/>
      <c r="K44" s="109"/>
      <c r="L44" s="109"/>
      <c r="M44" s="109"/>
      <c r="N44" s="109"/>
      <c r="O44" s="110"/>
      <c r="P44" s="133"/>
      <c r="Q44" s="171"/>
      <c r="R44" s="171"/>
      <c r="S44" s="171"/>
    </row>
    <row r="45" spans="1:19" ht="12.75">
      <c r="A45" s="175" t="str">
        <f>Tables!A1343</f>
        <v>Mak the mechanic (Connection 6, Loyalty 5)
</v>
      </c>
      <c r="B45" s="175"/>
      <c r="C45" s="175"/>
      <c r="D45" s="175"/>
      <c r="E45" s="175"/>
      <c r="F45" s="175"/>
      <c r="H45" s="150" t="s">
        <v>1684</v>
      </c>
      <c r="I45" s="176"/>
      <c r="J45" s="151" t="s">
        <v>150</v>
      </c>
      <c r="K45" s="151"/>
      <c r="L45" s="152" t="s">
        <v>151</v>
      </c>
      <c r="M45" s="152"/>
      <c r="N45" s="177" t="s">
        <v>152</v>
      </c>
      <c r="O45" s="177"/>
      <c r="Q45" s="171"/>
      <c r="R45" s="171"/>
      <c r="S45" s="171"/>
    </row>
    <row r="46" spans="1:19" ht="12.75">
      <c r="A46" s="175"/>
      <c r="B46" s="175"/>
      <c r="C46" s="175"/>
      <c r="D46" s="175"/>
      <c r="E46" s="175"/>
      <c r="F46" s="175"/>
      <c r="H46" s="178" t="s">
        <v>1349</v>
      </c>
      <c r="I46" s="178"/>
      <c r="J46" s="179">
        <f>IF(Sheet1!$B$4="Troll",1,0)</f>
        <v>0</v>
      </c>
      <c r="K46" s="179"/>
      <c r="L46" s="179">
        <v>0</v>
      </c>
      <c r="M46" s="179"/>
      <c r="N46" s="180" t="str">
        <f>Tables!E267</f>
        <v>6P</v>
      </c>
      <c r="O46" s="180"/>
      <c r="Q46" s="171"/>
      <c r="R46" s="171"/>
      <c r="S46" s="171"/>
    </row>
    <row r="47" spans="1:19" ht="12.75">
      <c r="A47" s="175"/>
      <c r="B47" s="175"/>
      <c r="C47" s="175"/>
      <c r="D47" s="175"/>
      <c r="E47" s="175"/>
      <c r="F47" s="175"/>
      <c r="H47" s="181" t="str">
        <f>Sheet1!A123</f>
        <v>Knife</v>
      </c>
      <c r="I47" s="181"/>
      <c r="J47" s="182">
        <f>Sheet1!D123</f>
        <v>0</v>
      </c>
      <c r="K47" s="182"/>
      <c r="L47" s="183">
        <f>Sheet1!E123</f>
      </c>
      <c r="M47" s="183"/>
      <c r="N47" s="184" t="str">
        <f>Sheet1!F123</f>
        <v>4P</v>
      </c>
      <c r="O47" s="184"/>
      <c r="Q47" s="171"/>
      <c r="R47" s="171"/>
      <c r="S47" s="171"/>
    </row>
    <row r="48" spans="1:19" ht="12.75">
      <c r="A48" s="175"/>
      <c r="B48" s="175"/>
      <c r="C48" s="175"/>
      <c r="D48" s="175"/>
      <c r="E48" s="175"/>
      <c r="F48" s="175"/>
      <c r="H48" s="185">
        <f>Sheet1!A124</f>
        <v>0</v>
      </c>
      <c r="I48" s="185"/>
      <c r="J48" s="186">
        <f>Sheet1!D124</f>
      </c>
      <c r="K48" s="186"/>
      <c r="L48" s="187">
        <f>Sheet1!E124</f>
      </c>
      <c r="M48" s="187"/>
      <c r="N48" s="188">
        <f>Sheet1!F124</f>
      </c>
      <c r="O48" s="188"/>
      <c r="Q48" s="171"/>
      <c r="R48" s="171"/>
      <c r="S48" s="171"/>
    </row>
    <row r="49" spans="1:19" ht="12" customHeight="1">
      <c r="A49" s="175"/>
      <c r="B49" s="175"/>
      <c r="C49" s="175"/>
      <c r="D49" s="175"/>
      <c r="E49" s="175"/>
      <c r="F49" s="175"/>
      <c r="H49" s="189">
        <f>Sheet1!A125</f>
        <v>0</v>
      </c>
      <c r="I49" s="189"/>
      <c r="J49" s="190">
        <f>Sheet1!D125</f>
      </c>
      <c r="K49" s="190"/>
      <c r="L49" s="191">
        <f>Sheet1!E125</f>
      </c>
      <c r="M49" s="191"/>
      <c r="N49" s="192">
        <f>Sheet1!F125</f>
      </c>
      <c r="O49" s="192"/>
      <c r="Q49" s="171"/>
      <c r="R49" s="171"/>
      <c r="S49" s="171"/>
    </row>
    <row r="50" ht="11.25" customHeight="1"/>
    <row r="51" spans="1:19" ht="12.75">
      <c r="A51" s="193" t="s">
        <v>1685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5"/>
      <c r="M51" s="195"/>
      <c r="N51" s="195"/>
      <c r="O51" s="195"/>
      <c r="P51" s="195"/>
      <c r="Q51" s="195"/>
      <c r="R51" s="195"/>
      <c r="S51" s="196"/>
    </row>
    <row r="52" spans="1:19" ht="12.75">
      <c r="A52" s="197" t="s">
        <v>1684</v>
      </c>
      <c r="B52" s="198"/>
      <c r="C52" s="151" t="s">
        <v>157</v>
      </c>
      <c r="D52" s="151"/>
      <c r="E52" s="151" t="s">
        <v>159</v>
      </c>
      <c r="F52" s="151" t="s">
        <v>151</v>
      </c>
      <c r="G52" s="151" t="s">
        <v>152</v>
      </c>
      <c r="H52" s="151" t="s">
        <v>1686</v>
      </c>
      <c r="I52" s="199" t="s">
        <v>1687</v>
      </c>
      <c r="J52" s="199"/>
      <c r="K52" s="199" t="s">
        <v>1688</v>
      </c>
      <c r="L52" s="199"/>
      <c r="M52" s="199"/>
      <c r="N52" s="199" t="s">
        <v>1689</v>
      </c>
      <c r="O52" s="199"/>
      <c r="P52" s="199"/>
      <c r="Q52" s="151" t="s">
        <v>1690</v>
      </c>
      <c r="R52" s="151" t="s">
        <v>1347</v>
      </c>
      <c r="S52" s="153" t="s">
        <v>674</v>
      </c>
    </row>
    <row r="53" spans="1:19" ht="12.75">
      <c r="A53" s="200" t="str">
        <f>Sheet1!A130</f>
        <v>Ares Predator IV</v>
      </c>
      <c r="B53" s="200"/>
      <c r="C53" s="201" t="str">
        <f>Sheet1!H130</f>
        <v>Heavy Pistol</v>
      </c>
      <c r="D53" s="201"/>
      <c r="E53" s="201" t="str">
        <f>IF(ISERROR(Sheet1!K130)=TRUE,"",Sheet1!K130)</f>
        <v>SA</v>
      </c>
      <c r="F53" s="202">
        <f>IF(ISERROR(Sheet1!J130)=TRUE,"",Sheet1!J130)</f>
        <v>-5</v>
      </c>
      <c r="G53" s="201" t="str">
        <f>IF(ISERROR(Sheet1!I130)=TRUE,"",Sheet1!I130)</f>
        <v>5P</v>
      </c>
      <c r="H53" s="201">
        <f>IF(ISERROR(Sheet1!M130)=TRUE,"",Sheet1!M130)</f>
      </c>
      <c r="I53" s="203" t="str">
        <f>IF(ISERROR(Sheet1!N130)=TRUE,"",Sheet1!N130)</f>
        <v>0-5m</v>
      </c>
      <c r="J53" s="203"/>
      <c r="K53" s="203" t="str">
        <f>IF(ISERROR(Sheet1!O130)=TRUE,"",Sheet1!O130)</f>
        <v>6-20m</v>
      </c>
      <c r="L53" s="203"/>
      <c r="M53" s="203"/>
      <c r="N53" s="203" t="str">
        <f>IF(ISERROR(Sheet1!P130)=TRUE,"",Sheet1!P130)</f>
        <v>21-40m</v>
      </c>
      <c r="O53" s="203"/>
      <c r="P53" s="203"/>
      <c r="Q53" s="201" t="str">
        <f>IF(ISERROR(Sheet1!Q130)=TRUE,"",Sheet1!Q130)</f>
        <v>41-60m</v>
      </c>
      <c r="R53" s="201" t="str">
        <f>IF(ISERROR(Sheet1!L130)=TRUE,"",Sheet1!L130)</f>
        <v>15(c)</v>
      </c>
      <c r="S53" s="204" t="str">
        <f>IF(ISERROR(Sheet1!E130)=TRUE,"",Sheet1!E130)</f>
        <v>APDS Rounds</v>
      </c>
    </row>
    <row r="54" spans="1:19" ht="12.75">
      <c r="A54" s="181">
        <f>Sheet1!A131</f>
        <v>0</v>
      </c>
      <c r="B54" s="181"/>
      <c r="C54" s="205">
        <f>Sheet1!H131</f>
      </c>
      <c r="D54" s="205"/>
      <c r="E54" s="205">
        <f>IF(ISERROR(Sheet1!K131)=TRUE,"",Sheet1!K131)</f>
      </c>
      <c r="F54" s="206">
        <f>IF(ISERROR(Sheet1!J131)=TRUE,"",Sheet1!J131)</f>
      </c>
      <c r="G54" s="205">
        <f>IF(ISERROR(Sheet1!I131)=TRUE,"",Sheet1!I131)</f>
      </c>
      <c r="H54" s="205">
        <f>IF(ISERROR(Sheet1!M131)=TRUE,"",Sheet1!M131)</f>
      </c>
      <c r="I54" s="207">
        <f>IF(ISERROR(Sheet1!N131)=TRUE,"",Sheet1!N131)</f>
      </c>
      <c r="J54" s="207"/>
      <c r="K54" s="207">
        <f>IF(ISERROR(Sheet1!O131)=TRUE,"",Sheet1!O131)</f>
      </c>
      <c r="L54" s="207"/>
      <c r="M54" s="207"/>
      <c r="N54" s="207">
        <f>IF(ISERROR(Sheet1!P131)=TRUE,"",Sheet1!P131)</f>
      </c>
      <c r="O54" s="207"/>
      <c r="P54" s="207"/>
      <c r="Q54" s="205">
        <f>IF(ISERROR(Sheet1!Q131)=TRUE,"",Sheet1!Q131)</f>
      </c>
      <c r="R54" s="205">
        <f>IF(ISERROR(Sheet1!L131)=TRUE,"",Sheet1!L131)</f>
      </c>
      <c r="S54" s="208">
        <f>IF(ISERROR(Sheet1!E131)=TRUE,"",Sheet1!E131)</f>
        <v>0</v>
      </c>
    </row>
    <row r="55" spans="1:19" ht="12.75">
      <c r="A55" s="200">
        <f>Sheet1!A132</f>
        <v>0</v>
      </c>
      <c r="B55" s="200"/>
      <c r="C55" s="201">
        <f>Sheet1!H132</f>
      </c>
      <c r="D55" s="201"/>
      <c r="E55" s="201">
        <f>IF(ISERROR(Sheet1!K132)=TRUE,"",Sheet1!K132)</f>
      </c>
      <c r="F55" s="202">
        <f>IF(ISERROR(Sheet1!J132)=TRUE,"",Sheet1!J132)</f>
      </c>
      <c r="G55" s="201">
        <f>IF(ISERROR(Sheet1!I132)=TRUE,"",Sheet1!I132)</f>
      </c>
      <c r="H55" s="201">
        <f>IF(ISERROR(Sheet1!M132)=TRUE,"",Sheet1!M132)</f>
      </c>
      <c r="I55" s="203">
        <f>IF(ISERROR(Sheet1!N132)=TRUE,"",Sheet1!N132)</f>
      </c>
      <c r="J55" s="203"/>
      <c r="K55" s="203">
        <f>IF(ISERROR(Sheet1!O132)=TRUE,"",Sheet1!O132)</f>
      </c>
      <c r="L55" s="203"/>
      <c r="M55" s="203"/>
      <c r="N55" s="203">
        <f>IF(ISERROR(Sheet1!P132)=TRUE,"",Sheet1!P132)</f>
      </c>
      <c r="O55" s="203"/>
      <c r="P55" s="203"/>
      <c r="Q55" s="201">
        <f>IF(ISERROR(Sheet1!Q132)=TRUE,"",Sheet1!Q132)</f>
      </c>
      <c r="R55" s="201">
        <f>IF(ISERROR(Sheet1!L132)=TRUE,"",Sheet1!L132)</f>
      </c>
      <c r="S55" s="204">
        <f>IF(ISERROR(Sheet1!E132)=TRUE,"",Sheet1!E132)</f>
        <v>0</v>
      </c>
    </row>
    <row r="56" spans="1:19" ht="12.75">
      <c r="A56" s="181">
        <f>Sheet1!A133</f>
        <v>0</v>
      </c>
      <c r="B56" s="181"/>
      <c r="C56" s="205">
        <f>Sheet1!H133</f>
      </c>
      <c r="D56" s="205"/>
      <c r="E56" s="205">
        <f>IF(ISERROR(Sheet1!K133)=TRUE,"",Sheet1!K133)</f>
      </c>
      <c r="F56" s="206">
        <f>IF(ISERROR(Sheet1!J133)=TRUE,"",Sheet1!J133)</f>
      </c>
      <c r="G56" s="205">
        <f>IF(ISERROR(Sheet1!I133)=TRUE,"",Sheet1!I133)</f>
      </c>
      <c r="H56" s="205">
        <f>IF(ISERROR(Sheet1!M133)=TRUE,"",Sheet1!M133)</f>
      </c>
      <c r="I56" s="207">
        <f>IF(ISERROR(Sheet1!N133)=TRUE,"",Sheet1!N133)</f>
      </c>
      <c r="J56" s="207"/>
      <c r="K56" s="207">
        <f>IF(ISERROR(Sheet1!O133)=TRUE,"",Sheet1!O133)</f>
      </c>
      <c r="L56" s="207"/>
      <c r="M56" s="207"/>
      <c r="N56" s="207">
        <f>IF(ISERROR(Sheet1!P133)=TRUE,"",Sheet1!P133)</f>
      </c>
      <c r="O56" s="207"/>
      <c r="P56" s="207"/>
      <c r="Q56" s="205">
        <f>IF(ISERROR(Sheet1!Q133)=TRUE,"",Sheet1!Q133)</f>
      </c>
      <c r="R56" s="205">
        <f>IF(ISERROR(Sheet1!L133)=TRUE,"",Sheet1!L133)</f>
      </c>
      <c r="S56" s="208">
        <f>IF(ISERROR(Sheet1!E133)=TRUE,"",Sheet1!E133)</f>
        <v>0</v>
      </c>
    </row>
    <row r="57" spans="1:19" ht="12.75">
      <c r="A57" s="200">
        <f>Sheet1!A134</f>
        <v>0</v>
      </c>
      <c r="B57" s="200"/>
      <c r="C57" s="201">
        <f>Sheet1!H134</f>
      </c>
      <c r="D57" s="201"/>
      <c r="E57" s="201">
        <f>IF(ISERROR(Sheet1!K134)=TRUE,"",Sheet1!K134)</f>
      </c>
      <c r="F57" s="202">
        <f>IF(ISERROR(Sheet1!J134)=TRUE,"",Sheet1!J134)</f>
      </c>
      <c r="G57" s="201">
        <f>IF(ISERROR(Sheet1!I134)=TRUE,"",Sheet1!I134)</f>
      </c>
      <c r="H57" s="201">
        <f>IF(ISERROR(Sheet1!M134)=TRUE,"",Sheet1!M134)</f>
      </c>
      <c r="I57" s="203">
        <f>IF(ISERROR(Sheet1!N134)=TRUE,"",Sheet1!N134)</f>
      </c>
      <c r="J57" s="203"/>
      <c r="K57" s="203">
        <f>IF(ISERROR(Sheet1!O134)=TRUE,"",Sheet1!O134)</f>
      </c>
      <c r="L57" s="203"/>
      <c r="M57" s="203"/>
      <c r="N57" s="203">
        <f>IF(ISERROR(Sheet1!P134)=TRUE,"",Sheet1!P134)</f>
      </c>
      <c r="O57" s="203"/>
      <c r="P57" s="203"/>
      <c r="Q57" s="201">
        <f>IF(ISERROR(Sheet1!Q134)=TRUE,"",Sheet1!Q134)</f>
      </c>
      <c r="R57" s="201">
        <f>IF(ISERROR(Sheet1!L134)=TRUE,"",Sheet1!L134)</f>
      </c>
      <c r="S57" s="204">
        <f>IF(ISERROR(Sheet1!E134)=TRUE,"",Sheet1!E134)</f>
        <v>0</v>
      </c>
    </row>
    <row r="58" spans="1:19" ht="12.75">
      <c r="A58" s="181">
        <f>Sheet1!A135</f>
        <v>0</v>
      </c>
      <c r="B58" s="181"/>
      <c r="C58" s="205">
        <f>Sheet1!H135</f>
      </c>
      <c r="D58" s="205"/>
      <c r="E58" s="205">
        <f>IF(ISERROR(Sheet1!K135)=TRUE,"",Sheet1!K135)</f>
      </c>
      <c r="F58" s="206">
        <f>IF(ISERROR(Sheet1!J135)=TRUE,"",Sheet1!J135)</f>
      </c>
      <c r="G58" s="205">
        <f>IF(ISERROR(Sheet1!I135)=TRUE,"",Sheet1!I135)</f>
      </c>
      <c r="H58" s="205">
        <f>IF(ISERROR(Sheet1!M135)=TRUE,"",Sheet1!M135)</f>
      </c>
      <c r="I58" s="207">
        <f>IF(ISERROR(Sheet1!N135)=TRUE,"",Sheet1!N135)</f>
      </c>
      <c r="J58" s="207"/>
      <c r="K58" s="207">
        <f>IF(ISERROR(Sheet1!O135)=TRUE,"",Sheet1!O135)</f>
      </c>
      <c r="L58" s="207"/>
      <c r="M58" s="207"/>
      <c r="N58" s="207">
        <f>IF(ISERROR(Sheet1!P135)=TRUE,"",Sheet1!P135)</f>
      </c>
      <c r="O58" s="207"/>
      <c r="P58" s="207"/>
      <c r="Q58" s="205">
        <f>IF(ISERROR(Sheet1!Q135)=TRUE,"",Sheet1!Q135)</f>
      </c>
      <c r="R58" s="205">
        <f>IF(ISERROR(Sheet1!L135)=TRUE,"",Sheet1!L135)</f>
      </c>
      <c r="S58" s="208">
        <f>IF(ISERROR(Sheet1!E135)=TRUE,"",Sheet1!E135)</f>
        <v>0</v>
      </c>
    </row>
    <row r="59" spans="1:19" ht="12.75">
      <c r="A59" s="209">
        <f>Sheet1!A136</f>
        <v>0</v>
      </c>
      <c r="B59" s="209"/>
      <c r="C59" s="210">
        <f>Sheet1!H136</f>
      </c>
      <c r="D59" s="210"/>
      <c r="E59" s="210">
        <f>IF(ISERROR(Sheet1!K136)=TRUE,"",Sheet1!K136)</f>
      </c>
      <c r="F59" s="211">
        <f>IF(ISERROR(Sheet1!J136)=TRUE,"",Sheet1!J136)</f>
      </c>
      <c r="G59" s="210">
        <f>IF(ISERROR(Sheet1!I136)=TRUE,"",Sheet1!I136)</f>
      </c>
      <c r="H59" s="210">
        <f>IF(ISERROR(Sheet1!M136)=TRUE,"",Sheet1!M136)</f>
      </c>
      <c r="I59" s="212">
        <f>IF(ISERROR(Sheet1!N136)=TRUE,"",Sheet1!N136)</f>
      </c>
      <c r="J59" s="212"/>
      <c r="K59" s="212">
        <f>IF(ISERROR(Sheet1!O136)=TRUE,"",Sheet1!O136)</f>
      </c>
      <c r="L59" s="212"/>
      <c r="M59" s="212"/>
      <c r="N59" s="212">
        <f>IF(ISERROR(Sheet1!P136)=TRUE,"",Sheet1!P136)</f>
      </c>
      <c r="O59" s="212"/>
      <c r="P59" s="212"/>
      <c r="Q59" s="210">
        <f>IF(ISERROR(Sheet1!Q136)=TRUE,"",Sheet1!Q136)</f>
      </c>
      <c r="R59" s="210">
        <f>IF(ISERROR(Sheet1!L136)=TRUE,"",Sheet1!L136)</f>
      </c>
      <c r="S59" s="213">
        <f>IF(ISERROR(Sheet1!E136)=TRUE,"",Sheet1!E136)</f>
        <v>0</v>
      </c>
    </row>
    <row r="61" spans="1:19" ht="12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1:19" ht="12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1:19" ht="12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1:19" ht="12.7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="103" customFormat="1" ht="12.75"/>
    <row r="66" s="103" customFormat="1" ht="12.75"/>
    <row r="67" s="103" customFormat="1" ht="12.75"/>
    <row r="68" s="103" customFormat="1" ht="12.75"/>
    <row r="69" s="103" customFormat="1" ht="12.75"/>
    <row r="70" s="103" customFormat="1" ht="12.75"/>
    <row r="71" s="103" customFormat="1" ht="12.75"/>
    <row r="72" s="103" customFormat="1" ht="12.75"/>
    <row r="73" s="103" customFormat="1" ht="12.75"/>
    <row r="74" s="103" customFormat="1" ht="12.75"/>
    <row r="75" s="103" customFormat="1" ht="12.75"/>
    <row r="76" s="103" customFormat="1" ht="12.75"/>
    <row r="77" s="103" customFormat="1" ht="12.75"/>
    <row r="78" s="103" customFormat="1" ht="12.75"/>
    <row r="79" s="103" customFormat="1" ht="12.75"/>
    <row r="80" s="103" customFormat="1" ht="12.75"/>
    <row r="81" s="103" customFormat="1" ht="12.75"/>
    <row r="82" s="103" customFormat="1" ht="12.75"/>
    <row r="83" s="103" customFormat="1" ht="12.75"/>
    <row r="84" s="103" customFormat="1" ht="12.75"/>
    <row r="85" s="103" customFormat="1" ht="12.75"/>
    <row r="86" s="103" customFormat="1" ht="12.75"/>
    <row r="87" s="103" customFormat="1" ht="12.75"/>
    <row r="88" s="103" customFormat="1" ht="12.75"/>
    <row r="89" s="103" customFormat="1" ht="12.75"/>
    <row r="90" s="103" customFormat="1" ht="12.75"/>
    <row r="91" s="103" customFormat="1" ht="12.75"/>
    <row r="92" s="103" customFormat="1" ht="12.75"/>
    <row r="93" s="103" customFormat="1" ht="12.75"/>
    <row r="94" s="103" customFormat="1" ht="12.75"/>
    <row r="95" s="103" customFormat="1" ht="12.75"/>
    <row r="96" s="103" customFormat="1" ht="12.75"/>
    <row r="97" s="103" customFormat="1" ht="12.75"/>
    <row r="98" s="103" customFormat="1" ht="12.75"/>
    <row r="99" s="103" customFormat="1" ht="12.75"/>
    <row r="100" s="103" customFormat="1" ht="12.75"/>
    <row r="101" s="103" customFormat="1" ht="12.75"/>
    <row r="102" s="103" customFormat="1" ht="12.75"/>
    <row r="103" s="103" customFormat="1" ht="12.75"/>
    <row r="104" s="103" customFormat="1" ht="12.75"/>
    <row r="105" s="103" customFormat="1" ht="12.75"/>
    <row r="106" s="103" customFormat="1" ht="12.75"/>
    <row r="107" s="103" customFormat="1" ht="12.75"/>
    <row r="108" s="103" customFormat="1" ht="12.75"/>
    <row r="109" s="103" customFormat="1" ht="12.75"/>
    <row r="110" s="103" customFormat="1" ht="12.75"/>
    <row r="111" s="103" customFormat="1" ht="12.75"/>
    <row r="112" s="103" customFormat="1" ht="12.75"/>
    <row r="113" s="103" customFormat="1" ht="12.75"/>
    <row r="114" s="103" customFormat="1" ht="12.75"/>
    <row r="115" s="103" customFormat="1" ht="12.75"/>
    <row r="116" s="103" customFormat="1" ht="12.75"/>
    <row r="117" s="103" customFormat="1" ht="12.75"/>
    <row r="118" s="103" customFormat="1" ht="12.75"/>
    <row r="119" s="103" customFormat="1" ht="12.75"/>
    <row r="120" s="103" customFormat="1" ht="12.75"/>
    <row r="121" s="103" customFormat="1" ht="12.75"/>
    <row r="122" s="103" customFormat="1" ht="12.75"/>
    <row r="123" s="103" customFormat="1" ht="12.75"/>
    <row r="124" s="103" customFormat="1" ht="12.75"/>
    <row r="125" s="103" customFormat="1" ht="12.75"/>
    <row r="126" s="103" customFormat="1" ht="12.75"/>
    <row r="127" s="103" customFormat="1" ht="12.75"/>
    <row r="128" s="103" customFormat="1" ht="12.75"/>
    <row r="129" s="103" customFormat="1" ht="12.75"/>
    <row r="130" s="103" customFormat="1" ht="12.75"/>
    <row r="131" s="103" customFormat="1" ht="12.75"/>
    <row r="132" s="103" customFormat="1" ht="12.75"/>
    <row r="133" s="103" customFormat="1" ht="12.75"/>
    <row r="134" s="103" customFormat="1" ht="12.75"/>
    <row r="135" s="103" customFormat="1" ht="12.75"/>
    <row r="136" s="103" customFormat="1" ht="12.75"/>
    <row r="137" s="103" customFormat="1" ht="12.75"/>
    <row r="138" s="103" customFormat="1" ht="12.75"/>
    <row r="139" s="103" customFormat="1" ht="12.75"/>
    <row r="140" s="103" customFormat="1" ht="12.75"/>
    <row r="141" s="103" customFormat="1" ht="12.75"/>
    <row r="142" s="103" customFormat="1" ht="12.75"/>
    <row r="143" s="103" customFormat="1" ht="12.75"/>
    <row r="144" s="103" customFormat="1" ht="12.75"/>
    <row r="145" s="103" customFormat="1" ht="12.75"/>
    <row r="146" s="103" customFormat="1" ht="12.75"/>
    <row r="147" s="103" customFormat="1" ht="12.75"/>
    <row r="148" s="103" customFormat="1" ht="12.75"/>
    <row r="149" s="103" customFormat="1" ht="12.75"/>
    <row r="150" s="103" customFormat="1" ht="12.75"/>
    <row r="151" s="103" customFormat="1" ht="12.75"/>
    <row r="152" s="103" customFormat="1" ht="12.75"/>
    <row r="153" s="103" customFormat="1" ht="12.75"/>
    <row r="154" s="103" customFormat="1" ht="12.75"/>
    <row r="155" s="103" customFormat="1" ht="12.75"/>
    <row r="156" s="103" customFormat="1" ht="12.75"/>
    <row r="157" s="103" customFormat="1" ht="12.75"/>
    <row r="158" s="103" customFormat="1" ht="12.75"/>
    <row r="159" s="103" customFormat="1" ht="12.75"/>
    <row r="160" s="103" customFormat="1" ht="12.75"/>
    <row r="161" s="103" customFormat="1" ht="12.75"/>
    <row r="162" s="103" customFormat="1" ht="12.75"/>
    <row r="163" s="103" customFormat="1" ht="12.75"/>
    <row r="164" s="103" customFormat="1" ht="12.75"/>
    <row r="165" s="103" customFormat="1" ht="12.75"/>
    <row r="166" s="103" customFormat="1" ht="12.75"/>
    <row r="167" s="103" customFormat="1" ht="12.75"/>
    <row r="168" s="103" customFormat="1" ht="12.75"/>
    <row r="169" s="103" customFormat="1" ht="12.75"/>
    <row r="170" s="103" customFormat="1" ht="12.75"/>
    <row r="171" s="103" customFormat="1" ht="12.75"/>
    <row r="172" s="103" customFormat="1" ht="12.75"/>
    <row r="173" s="103" customFormat="1" ht="12.75"/>
    <row r="174" s="103" customFormat="1" ht="12.75"/>
    <row r="175" s="103" customFormat="1" ht="12.75"/>
    <row r="176" s="103" customFormat="1" ht="12.75"/>
    <row r="177" s="103" customFormat="1" ht="12.75"/>
    <row r="178" s="103" customFormat="1" ht="12.75"/>
    <row r="179" s="103" customFormat="1" ht="12.75"/>
    <row r="180" s="103" customFormat="1" ht="12.75"/>
    <row r="181" s="103" customFormat="1" ht="12.75"/>
    <row r="182" s="103" customFormat="1" ht="12.75"/>
    <row r="183" s="103" customFormat="1" ht="12.75"/>
    <row r="184" s="103" customFormat="1" ht="12.75"/>
    <row r="185" s="103" customFormat="1" ht="12.75"/>
    <row r="186" s="103" customFormat="1" ht="12.75"/>
    <row r="187" s="103" customFormat="1" ht="12.75"/>
  </sheetData>
  <mergeCells count="86">
    <mergeCell ref="I12:O12"/>
    <mergeCell ref="Q12:S12"/>
    <mergeCell ref="A13:C24"/>
    <mergeCell ref="D13:D24"/>
    <mergeCell ref="E13:F24"/>
    <mergeCell ref="I13:K13"/>
    <mergeCell ref="M13:O13"/>
    <mergeCell ref="Q13:S13"/>
    <mergeCell ref="Q14:S14"/>
    <mergeCell ref="Q15:S16"/>
    <mergeCell ref="Q18:S18"/>
    <mergeCell ref="Q19:S19"/>
    <mergeCell ref="L22:M22"/>
    <mergeCell ref="N22:P22"/>
    <mergeCell ref="H23:K23"/>
    <mergeCell ref="L23:M23"/>
    <mergeCell ref="N23:P23"/>
    <mergeCell ref="H26:O42"/>
    <mergeCell ref="Q26:S26"/>
    <mergeCell ref="A27:C33"/>
    <mergeCell ref="D27:D33"/>
    <mergeCell ref="E27:E33"/>
    <mergeCell ref="F27:F33"/>
    <mergeCell ref="Q27:S27"/>
    <mergeCell ref="Q28:S49"/>
    <mergeCell ref="A36:D42"/>
    <mergeCell ref="E36:E42"/>
    <mergeCell ref="A45:F49"/>
    <mergeCell ref="J45:K45"/>
    <mergeCell ref="L45:M45"/>
    <mergeCell ref="N45:O45"/>
    <mergeCell ref="H46:I46"/>
    <mergeCell ref="J46:K46"/>
    <mergeCell ref="L46:M46"/>
    <mergeCell ref="N46:O46"/>
    <mergeCell ref="H47:I47"/>
    <mergeCell ref="J47:K47"/>
    <mergeCell ref="L47:M47"/>
    <mergeCell ref="N47:O47"/>
    <mergeCell ref="H48:I48"/>
    <mergeCell ref="J48:K48"/>
    <mergeCell ref="L48:M48"/>
    <mergeCell ref="N48:O48"/>
    <mergeCell ref="H49:I49"/>
    <mergeCell ref="J49:K49"/>
    <mergeCell ref="L49:M49"/>
    <mergeCell ref="N49:O49"/>
    <mergeCell ref="C52:D52"/>
    <mergeCell ref="I52:J52"/>
    <mergeCell ref="K52:M52"/>
    <mergeCell ref="N52:P52"/>
    <mergeCell ref="A53:B53"/>
    <mergeCell ref="C53:D53"/>
    <mergeCell ref="I53:J53"/>
    <mergeCell ref="K53:M53"/>
    <mergeCell ref="N53:P53"/>
    <mergeCell ref="A54:B54"/>
    <mergeCell ref="C54:D54"/>
    <mergeCell ref="I54:J54"/>
    <mergeCell ref="K54:M54"/>
    <mergeCell ref="N54:P54"/>
    <mergeCell ref="A55:B55"/>
    <mergeCell ref="C55:D55"/>
    <mergeCell ref="I55:J55"/>
    <mergeCell ref="K55:M55"/>
    <mergeCell ref="N55:P55"/>
    <mergeCell ref="A56:B56"/>
    <mergeCell ref="C56:D56"/>
    <mergeCell ref="I56:J56"/>
    <mergeCell ref="K56:M56"/>
    <mergeCell ref="N56:P56"/>
    <mergeCell ref="A57:B57"/>
    <mergeCell ref="C57:D57"/>
    <mergeCell ref="I57:J57"/>
    <mergeCell ref="K57:M57"/>
    <mergeCell ref="N57:P57"/>
    <mergeCell ref="A58:B58"/>
    <mergeCell ref="C58:D58"/>
    <mergeCell ref="I58:J58"/>
    <mergeCell ref="K58:M58"/>
    <mergeCell ref="N58:P58"/>
    <mergeCell ref="A59:B59"/>
    <mergeCell ref="C59:D59"/>
    <mergeCell ref="I59:J59"/>
    <mergeCell ref="K59:M59"/>
    <mergeCell ref="N59:P59"/>
  </mergeCells>
  <conditionalFormatting sqref="I17">
    <cfRule type="expression" priority="1" dxfId="0" stopIfTrue="1">
      <formula>PCon&lt;10</formula>
    </cfRule>
  </conditionalFormatting>
  <conditionalFormatting sqref="J17">
    <cfRule type="expression" priority="2" dxfId="0" stopIfTrue="1">
      <formula>PCon&lt;11</formula>
    </cfRule>
  </conditionalFormatting>
  <conditionalFormatting sqref="K17">
    <cfRule type="expression" priority="3" dxfId="0" stopIfTrue="1">
      <formula>PCon&lt;12</formula>
    </cfRule>
  </conditionalFormatting>
  <conditionalFormatting sqref="I18">
    <cfRule type="expression" priority="4" dxfId="0" stopIfTrue="1">
      <formula>PCon&lt;13</formula>
    </cfRule>
  </conditionalFormatting>
  <conditionalFormatting sqref="J18">
    <cfRule type="expression" priority="5" dxfId="0" stopIfTrue="1">
      <formula>PCon&lt;14</formula>
    </cfRule>
  </conditionalFormatting>
  <conditionalFormatting sqref="K18">
    <cfRule type="expression" priority="6" dxfId="0" stopIfTrue="1">
      <formula>PCon&lt;15</formula>
    </cfRule>
  </conditionalFormatting>
  <conditionalFormatting sqref="I19">
    <cfRule type="expression" priority="7" dxfId="0" stopIfTrue="1">
      <formula>PCon&lt;16</formula>
    </cfRule>
  </conditionalFormatting>
  <conditionalFormatting sqref="J19">
    <cfRule type="expression" priority="8" dxfId="0" stopIfTrue="1">
      <formula>PCon&lt;17</formula>
    </cfRule>
  </conditionalFormatting>
  <conditionalFormatting sqref="K19">
    <cfRule type="expression" priority="9" dxfId="0" stopIfTrue="1">
      <formula>PCon&lt;18</formula>
    </cfRule>
  </conditionalFormatting>
  <conditionalFormatting sqref="M17">
    <cfRule type="expression" priority="10" dxfId="0" stopIfTrue="1">
      <formula>SCon&lt;10</formula>
    </cfRule>
  </conditionalFormatting>
  <conditionalFormatting sqref="N17">
    <cfRule type="expression" priority="11" dxfId="0" stopIfTrue="1">
      <formula>SCon&lt;11</formula>
    </cfRule>
  </conditionalFormatting>
  <conditionalFormatting sqref="O17">
    <cfRule type="expression" priority="12" dxfId="0" stopIfTrue="1">
      <formula>SCon&lt;12</formula>
    </cfRule>
  </conditionalFormatting>
  <conditionalFormatting sqref="M18">
    <cfRule type="expression" priority="13" dxfId="0" stopIfTrue="1">
      <formula>SCon&lt;13</formula>
    </cfRule>
  </conditionalFormatting>
  <conditionalFormatting sqref="N18">
    <cfRule type="expression" priority="14" dxfId="0" stopIfTrue="1">
      <formula>SCon&lt;14</formula>
    </cfRule>
  </conditionalFormatting>
  <conditionalFormatting sqref="O18">
    <cfRule type="expression" priority="15" dxfId="0" stopIfTrue="1">
      <formula>SCon&lt;15</formula>
    </cfRule>
  </conditionalFormatting>
  <conditionalFormatting sqref="M19">
    <cfRule type="expression" priority="16" dxfId="0" stopIfTrue="1">
      <formula>SCon&lt;16</formula>
    </cfRule>
  </conditionalFormatting>
  <conditionalFormatting sqref="N19">
    <cfRule type="expression" priority="17" dxfId="0" stopIfTrue="1">
      <formula>SCon&lt;17</formula>
    </cfRule>
  </conditionalFormatting>
  <conditionalFormatting sqref="O19">
    <cfRule type="expression" priority="18" dxfId="0" stopIfTrue="1">
      <formula>SCon&lt;18</formula>
    </cfRule>
  </conditionalFormatting>
  <printOptions horizontalCentered="1" verticalCentered="1"/>
  <pageMargins left="0.27569444444444446" right="0.27569444444444446" top="0.39375" bottom="0.39375" header="0.5118055555555556" footer="0.5118055555555556"/>
  <pageSetup horizontalDpi="300" verticalDpi="300" orientation="portrait" paperSize="9" scale="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G47"/>
  <sheetViews>
    <sheetView workbookViewId="0" topLeftCell="A1">
      <selection activeCell="I27" sqref="I27"/>
    </sheetView>
  </sheetViews>
  <sheetFormatPr defaultColWidth="9.140625" defaultRowHeight="12.75"/>
  <cols>
    <col min="1" max="1" width="23.28125" style="1" customWidth="1"/>
    <col min="2" max="2" width="17.57421875" style="1" customWidth="1"/>
    <col min="3" max="3" width="4.8515625" style="1" customWidth="1"/>
    <col min="4" max="4" width="19.140625" style="1" customWidth="1"/>
    <col min="5" max="5" width="4.140625" style="1" customWidth="1"/>
    <col min="6" max="6" width="11.140625" style="1" customWidth="1"/>
    <col min="7" max="7" width="14.8515625" style="1" customWidth="1"/>
    <col min="8" max="16384" width="9.140625" style="1" customWidth="1"/>
  </cols>
  <sheetData>
    <row r="2" spans="2:4" ht="12.75">
      <c r="B2" s="19" t="s">
        <v>1691</v>
      </c>
      <c r="C2" s="106">
        <f>MagicStat+Sheet1!B51</f>
        <v>0</v>
      </c>
      <c r="D2" s="214" t="str">
        <f>CONCATENATE("= Magic (",MagicStat,") + Spellcasting (",IF(Sheet1!B51="",0,Sheet1!B51),")")</f>
        <v>= Magic (0) + Spellcasting (0)</v>
      </c>
    </row>
    <row r="3" spans="2:4" ht="12.75">
      <c r="B3" s="19" t="s">
        <v>1692</v>
      </c>
      <c r="C3" s="106">
        <f>MagicStat+Sheet1!B49</f>
        <v>0</v>
      </c>
      <c r="D3" s="214" t="str">
        <f>CONCATENATE("= Magic (",MagicStat,") + Counterspelling (",IF(Sheet1!B49="",0,Sheet1!B49),")")</f>
        <v>= Magic (0) + Counterspelling (0)</v>
      </c>
    </row>
    <row r="4" spans="2:4" ht="12.75">
      <c r="B4" s="19" t="s">
        <v>1693</v>
      </c>
      <c r="C4" s="106">
        <f>MagicStat+Sheet1!B50</f>
        <v>0</v>
      </c>
      <c r="D4" s="214" t="str">
        <f>CONCATENATE("= Magic (",MagicStat,") + Ritual Spellcasting (",IF(Sheet1!B50="",0,Sheet1!B50),")")</f>
        <v>= Magic (0) + Ritual Spellcasting (0)</v>
      </c>
    </row>
    <row r="6" spans="2:4" ht="12.75">
      <c r="B6" s="20" t="s">
        <v>1694</v>
      </c>
      <c r="C6" s="106">
        <f>DrainStat+Sheet1!I19+IF(COUNTIF(PosQualTaken,"Focused Concentration I")&gt;0,1,0)+IF(COUNTIF(PosQualTaken,"Focused Concentration II")&gt;0,2,0)</f>
        <v>9</v>
      </c>
      <c r="D6" s="1" t="str">
        <f>CONCATENATE("= Willpower (",Sheet1!I19,") + ",DrainStatType," (",DrainStat,")",IF(COUNTIF(PosQualTaken,"Focused Concentration I")&gt;0," + Focused Concentration (1)",""),IF(COUNTIF(PosQualTaken,"Focused Concentration II")&gt;0," + Focused Concentration (2)",""))</f>
        <v>= Willpower (5) + Logic (4)</v>
      </c>
    </row>
    <row r="7" spans="2:3" ht="12.75">
      <c r="B7" s="20"/>
      <c r="C7" s="106"/>
    </row>
    <row r="8" spans="2:3" ht="12.75">
      <c r="B8" s="20" t="s">
        <v>1695</v>
      </c>
      <c r="C8" s="106">
        <f>Sheet1!I17*2</f>
        <v>8</v>
      </c>
    </row>
    <row r="9" spans="2:3" ht="12.75">
      <c r="B9" s="20" t="s">
        <v>1696</v>
      </c>
      <c r="C9" s="106">
        <v>3</v>
      </c>
    </row>
    <row r="11" spans="1:7" ht="12.75">
      <c r="A11" s="108" t="str">
        <f>CONCATENATE("SPELLS (",Sheet1!B224,"BP), Default Force = Magic Attribute")</f>
        <v>SPELLS (0BP), Default Force = Magic Attribute</v>
      </c>
      <c r="B11" s="41"/>
      <c r="C11" s="41"/>
      <c r="D11" s="41"/>
      <c r="E11" s="41"/>
      <c r="F11" s="41"/>
      <c r="G11" s="215"/>
    </row>
    <row r="12" spans="1:7" ht="10.5">
      <c r="A12" s="216" t="s">
        <v>1684</v>
      </c>
      <c r="B12" s="152" t="s">
        <v>221</v>
      </c>
      <c r="C12" s="152" t="s">
        <v>157</v>
      </c>
      <c r="D12" s="152" t="s">
        <v>222</v>
      </c>
      <c r="E12" s="152" t="s">
        <v>152</v>
      </c>
      <c r="F12" s="152" t="s">
        <v>223</v>
      </c>
      <c r="G12" s="153" t="s">
        <v>1697</v>
      </c>
    </row>
    <row r="13" spans="1:7" ht="10.5">
      <c r="A13" s="217">
        <f>Sheet1!A212</f>
        <v>0</v>
      </c>
      <c r="B13" s="218">
        <f>Sheet1!H212</f>
      </c>
      <c r="C13" s="219">
        <f>Sheet1!I212</f>
      </c>
      <c r="D13" s="219">
        <f>Sheet1!J212</f>
      </c>
      <c r="E13" s="218">
        <f>Sheet1!K212</f>
      </c>
      <c r="F13" s="219">
        <f>Sheet1!L212</f>
      </c>
      <c r="G13" s="220">
        <f>Sheet1!M212</f>
      </c>
    </row>
    <row r="14" spans="1:7" ht="10.5">
      <c r="A14" s="221">
        <f>Sheet1!A213</f>
        <v>0</v>
      </c>
      <c r="B14" s="222">
        <f>Sheet1!H213</f>
      </c>
      <c r="C14" s="223">
        <f>Sheet1!I213</f>
      </c>
      <c r="D14" s="223">
        <f>Sheet1!J213</f>
      </c>
      <c r="E14" s="222">
        <f>Sheet1!K213</f>
      </c>
      <c r="F14" s="223">
        <f>Sheet1!L213</f>
      </c>
      <c r="G14" s="224">
        <f>Sheet1!M213</f>
      </c>
    </row>
    <row r="15" spans="1:7" ht="10.5">
      <c r="A15" s="217">
        <f>Sheet1!A214</f>
        <v>0</v>
      </c>
      <c r="B15" s="218">
        <f>Sheet1!H214</f>
      </c>
      <c r="C15" s="219">
        <f>Sheet1!I214</f>
      </c>
      <c r="D15" s="219">
        <f>Sheet1!J214</f>
      </c>
      <c r="E15" s="218">
        <f>Sheet1!K214</f>
      </c>
      <c r="F15" s="219">
        <f>Sheet1!L214</f>
      </c>
      <c r="G15" s="220">
        <f>Sheet1!M214</f>
      </c>
    </row>
    <row r="16" spans="1:7" ht="10.5">
      <c r="A16" s="221">
        <f>Sheet1!A215</f>
        <v>0</v>
      </c>
      <c r="B16" s="222">
        <f>Sheet1!H215</f>
      </c>
      <c r="C16" s="223">
        <f>Sheet1!I215</f>
      </c>
      <c r="D16" s="223">
        <f>Sheet1!J215</f>
      </c>
      <c r="E16" s="222">
        <f>Sheet1!K215</f>
      </c>
      <c r="F16" s="223">
        <f>Sheet1!L215</f>
      </c>
      <c r="G16" s="224">
        <f>Sheet1!M215</f>
      </c>
    </row>
    <row r="17" spans="1:7" ht="10.5">
      <c r="A17" s="217">
        <f>Sheet1!A216</f>
        <v>0</v>
      </c>
      <c r="B17" s="218">
        <f>Sheet1!H216</f>
      </c>
      <c r="C17" s="219">
        <f>Sheet1!I216</f>
      </c>
      <c r="D17" s="219">
        <f>Sheet1!J216</f>
      </c>
      <c r="E17" s="218">
        <f>Sheet1!K216</f>
      </c>
      <c r="F17" s="219">
        <f>Sheet1!L216</f>
      </c>
      <c r="G17" s="220">
        <f>Sheet1!M216</f>
      </c>
    </row>
    <row r="18" spans="1:7" ht="10.5">
      <c r="A18" s="221">
        <f>Sheet1!A217</f>
        <v>0</v>
      </c>
      <c r="B18" s="222">
        <f>Sheet1!H217</f>
      </c>
      <c r="C18" s="223">
        <f>Sheet1!I217</f>
      </c>
      <c r="D18" s="223">
        <f>Sheet1!J217</f>
      </c>
      <c r="E18" s="222">
        <f>Sheet1!K217</f>
      </c>
      <c r="F18" s="223">
        <f>Sheet1!L217</f>
      </c>
      <c r="G18" s="224">
        <f>Sheet1!M217</f>
      </c>
    </row>
    <row r="19" spans="1:7" ht="10.5">
      <c r="A19" s="217">
        <f>Sheet1!A218</f>
        <v>0</v>
      </c>
      <c r="B19" s="218">
        <f>Sheet1!H218</f>
      </c>
      <c r="C19" s="219">
        <f>Sheet1!I218</f>
      </c>
      <c r="D19" s="219">
        <f>Sheet1!J218</f>
      </c>
      <c r="E19" s="218">
        <f>Sheet1!K218</f>
      </c>
      <c r="F19" s="219">
        <f>Sheet1!L218</f>
      </c>
      <c r="G19" s="220">
        <f>Sheet1!M218</f>
      </c>
    </row>
    <row r="20" spans="1:7" ht="10.5">
      <c r="A20" s="221">
        <f>Sheet1!A219</f>
        <v>0</v>
      </c>
      <c r="B20" s="222">
        <f>Sheet1!H219</f>
      </c>
      <c r="C20" s="223">
        <f>Sheet1!I219</f>
      </c>
      <c r="D20" s="223">
        <f>Sheet1!J219</f>
      </c>
      <c r="E20" s="222">
        <f>Sheet1!K219</f>
      </c>
      <c r="F20" s="223">
        <f>Sheet1!L219</f>
      </c>
      <c r="G20" s="224">
        <f>Sheet1!M219</f>
      </c>
    </row>
    <row r="21" spans="1:7" ht="10.5">
      <c r="A21" s="225">
        <f>Sheet1!A220</f>
        <v>0</v>
      </c>
      <c r="B21" s="226">
        <f>Sheet1!H220</f>
      </c>
      <c r="C21" s="227">
        <f>Sheet1!I220</f>
      </c>
      <c r="D21" s="227">
        <f>Sheet1!J220</f>
      </c>
      <c r="E21" s="226">
        <f>Sheet1!K220</f>
      </c>
      <c r="F21" s="227">
        <f>Sheet1!L220</f>
      </c>
      <c r="G21" s="228">
        <f>Sheet1!M220</f>
      </c>
    </row>
    <row r="22" spans="1:7" ht="10.5">
      <c r="A22" s="221">
        <f>Sheet1!A221</f>
        <v>0</v>
      </c>
      <c r="B22" s="222">
        <f>Sheet1!H221</f>
      </c>
      <c r="C22" s="223">
        <f>Sheet1!I221</f>
      </c>
      <c r="D22" s="223">
        <f>Sheet1!J221</f>
      </c>
      <c r="E22" s="222">
        <f>Sheet1!K221</f>
      </c>
      <c r="F22" s="223">
        <f>Sheet1!L221</f>
      </c>
      <c r="G22" s="224">
        <f>Sheet1!M221</f>
      </c>
    </row>
    <row r="23" spans="1:7" ht="10.5">
      <c r="A23" s="225">
        <f>Sheet1!A222</f>
        <v>0</v>
      </c>
      <c r="B23" s="226">
        <f>Sheet1!H222</f>
      </c>
      <c r="C23" s="227">
        <f>Sheet1!I222</f>
      </c>
      <c r="D23" s="227">
        <f>Sheet1!J222</f>
      </c>
      <c r="E23" s="226">
        <f>Sheet1!K222</f>
      </c>
      <c r="F23" s="227">
        <f>Sheet1!L222</f>
      </c>
      <c r="G23" s="228">
        <f>Sheet1!M222</f>
      </c>
    </row>
    <row r="24" spans="1:7" ht="10.5">
      <c r="A24" s="229">
        <f>Sheet1!A223</f>
        <v>0</v>
      </c>
      <c r="B24" s="230">
        <f>Sheet1!H223</f>
      </c>
      <c r="C24" s="231">
        <f>Sheet1!I223</f>
      </c>
      <c r="D24" s="231">
        <f>Sheet1!J223</f>
      </c>
      <c r="E24" s="230">
        <f>Sheet1!K223</f>
      </c>
      <c r="F24" s="231">
        <f>Sheet1!L223</f>
      </c>
      <c r="G24" s="232">
        <f>Sheet1!M223</f>
      </c>
    </row>
    <row r="25" spans="3:7" ht="10.5">
      <c r="C25" s="13"/>
      <c r="D25" s="13"/>
      <c r="E25" s="13"/>
      <c r="F25" s="13"/>
      <c r="G25" s="13"/>
    </row>
    <row r="26" spans="1:7" ht="12.75">
      <c r="A26" s="108" t="s">
        <v>225</v>
      </c>
      <c r="B26" s="233"/>
      <c r="C26" s="234"/>
      <c r="D26" s="234"/>
      <c r="E26" s="234"/>
      <c r="F26" s="234"/>
      <c r="G26" s="235"/>
    </row>
    <row r="27" spans="1:7" ht="10.5">
      <c r="A27" s="216" t="s">
        <v>1684</v>
      </c>
      <c r="B27" s="236" t="s">
        <v>1698</v>
      </c>
      <c r="C27" s="152" t="s">
        <v>226</v>
      </c>
      <c r="D27" s="237" t="s">
        <v>229</v>
      </c>
      <c r="E27" s="238"/>
      <c r="F27" s="238"/>
      <c r="G27" s="239"/>
    </row>
    <row r="28" spans="1:7" ht="10.5">
      <c r="A28" s="240">
        <f>Sheet1!A229</f>
        <v>0</v>
      </c>
      <c r="B28" s="241">
        <f>Sheet1!E229</f>
        <v>0</v>
      </c>
      <c r="C28" s="241">
        <f>Sheet1!C229</f>
        <v>0</v>
      </c>
      <c r="D28" s="242">
        <f>Sheet1!H229</f>
        <v>0</v>
      </c>
      <c r="E28" s="242"/>
      <c r="F28" s="242"/>
      <c r="G28" s="242"/>
    </row>
    <row r="29" spans="1:7" ht="10.5">
      <c r="A29" s="243">
        <f>Sheet1!A230</f>
        <v>0</v>
      </c>
      <c r="B29" s="244">
        <f>Sheet1!E230</f>
        <v>0</v>
      </c>
      <c r="C29" s="244">
        <f>Sheet1!C230</f>
        <v>0</v>
      </c>
      <c r="D29" s="245">
        <f>Sheet1!H230</f>
        <v>0</v>
      </c>
      <c r="E29" s="245"/>
      <c r="F29" s="245"/>
      <c r="G29" s="245"/>
    </row>
    <row r="30" spans="1:7" ht="10.5">
      <c r="A30" s="240">
        <f>Sheet1!A231</f>
        <v>0</v>
      </c>
      <c r="B30" s="241">
        <f>Sheet1!E231</f>
        <v>0</v>
      </c>
      <c r="C30" s="241">
        <f>Sheet1!C231</f>
        <v>0</v>
      </c>
      <c r="D30" s="242">
        <f>Sheet1!H231</f>
        <v>0</v>
      </c>
      <c r="E30" s="242"/>
      <c r="F30" s="242"/>
      <c r="G30" s="242"/>
    </row>
    <row r="31" spans="1:7" ht="10.5">
      <c r="A31" s="243">
        <f>Sheet1!A232</f>
        <v>0</v>
      </c>
      <c r="B31" s="244">
        <f>Sheet1!E232</f>
        <v>0</v>
      </c>
      <c r="C31" s="244">
        <f>Sheet1!C232</f>
        <v>0</v>
      </c>
      <c r="D31" s="245">
        <f>Sheet1!H232</f>
        <v>0</v>
      </c>
      <c r="E31" s="245"/>
      <c r="F31" s="245"/>
      <c r="G31" s="245"/>
    </row>
    <row r="32" spans="1:7" ht="10.5">
      <c r="A32" s="240">
        <f>Sheet1!A233</f>
        <v>0</v>
      </c>
      <c r="B32" s="241">
        <f>Sheet1!E233</f>
        <v>0</v>
      </c>
      <c r="C32" s="241">
        <f>Sheet1!C233</f>
        <v>0</v>
      </c>
      <c r="D32" s="242">
        <f>Sheet1!H233</f>
        <v>0</v>
      </c>
      <c r="E32" s="242"/>
      <c r="F32" s="242"/>
      <c r="G32" s="242"/>
    </row>
    <row r="33" spans="1:7" ht="10.5">
      <c r="A33" s="243">
        <f>Sheet1!A234</f>
        <v>0</v>
      </c>
      <c r="B33" s="244">
        <f>Sheet1!E234</f>
        <v>0</v>
      </c>
      <c r="C33" s="244">
        <f>Sheet1!C234</f>
        <v>0</v>
      </c>
      <c r="D33" s="245">
        <f>Sheet1!H234</f>
        <v>0</v>
      </c>
      <c r="E33" s="245"/>
      <c r="F33" s="245"/>
      <c r="G33" s="245"/>
    </row>
    <row r="34" spans="1:7" ht="10.5">
      <c r="A34" s="240">
        <f>Sheet1!A235</f>
        <v>0</v>
      </c>
      <c r="B34" s="241">
        <f>Sheet1!E235</f>
        <v>0</v>
      </c>
      <c r="C34" s="241">
        <f>Sheet1!C235</f>
        <v>0</v>
      </c>
      <c r="D34" s="242">
        <f>Sheet1!H235</f>
        <v>0</v>
      </c>
      <c r="E34" s="242"/>
      <c r="F34" s="242"/>
      <c r="G34" s="242"/>
    </row>
    <row r="35" spans="1:7" ht="10.5">
      <c r="A35" s="243">
        <f>Sheet1!A236</f>
        <v>0</v>
      </c>
      <c r="B35" s="244">
        <f>Sheet1!E236</f>
        <v>0</v>
      </c>
      <c r="C35" s="244">
        <f>Sheet1!C236</f>
        <v>0</v>
      </c>
      <c r="D35" s="245">
        <f>Sheet1!H236</f>
        <v>0</v>
      </c>
      <c r="E35" s="245"/>
      <c r="F35" s="245"/>
      <c r="G35" s="245"/>
    </row>
    <row r="36" spans="1:7" ht="10.5">
      <c r="A36" s="240">
        <f>Sheet1!A237</f>
        <v>0</v>
      </c>
      <c r="B36" s="241">
        <f>Sheet1!E237</f>
        <v>0</v>
      </c>
      <c r="C36" s="241">
        <f>Sheet1!C237</f>
        <v>0</v>
      </c>
      <c r="D36" s="242">
        <f>Sheet1!H237</f>
        <v>0</v>
      </c>
      <c r="E36" s="242"/>
      <c r="F36" s="242"/>
      <c r="G36" s="242"/>
    </row>
    <row r="37" spans="1:7" ht="10.5">
      <c r="A37" s="243">
        <f>Sheet1!A238</f>
        <v>0</v>
      </c>
      <c r="B37" s="244">
        <f>Sheet1!E238</f>
        <v>0</v>
      </c>
      <c r="C37" s="244">
        <f>Sheet1!C238</f>
        <v>0</v>
      </c>
      <c r="D37" s="245">
        <f>Sheet1!H238</f>
        <v>0</v>
      </c>
      <c r="E37" s="245"/>
      <c r="F37" s="245"/>
      <c r="G37" s="245"/>
    </row>
    <row r="38" spans="1:7" ht="10.5">
      <c r="A38" s="246">
        <f>Sheet1!A239</f>
        <v>0</v>
      </c>
      <c r="B38" s="157">
        <f>Sheet1!E239</f>
        <v>0</v>
      </c>
      <c r="C38" s="157">
        <f>Sheet1!C239</f>
        <v>0</v>
      </c>
      <c r="D38" s="247">
        <f>Sheet1!H239</f>
        <v>0</v>
      </c>
      <c r="E38" s="247"/>
      <c r="F38" s="247"/>
      <c r="G38" s="247"/>
    </row>
    <row r="39" spans="2:7" ht="10.5">
      <c r="B39" s="13"/>
      <c r="C39" s="13"/>
      <c r="D39" s="26"/>
      <c r="E39" s="26"/>
      <c r="F39" s="26"/>
      <c r="G39" s="26"/>
    </row>
    <row r="40" spans="1:7" ht="12.75">
      <c r="A40" s="248" t="s">
        <v>231</v>
      </c>
      <c r="B40" s="164" t="str">
        <f>CONCATENATE("SPIRIT FORCE: ",MagicStat)</f>
        <v>SPIRIT FORCE: 0</v>
      </c>
      <c r="C40" s="249"/>
      <c r="D40" s="250" t="s">
        <v>233</v>
      </c>
      <c r="E40" s="251"/>
      <c r="F40" s="251"/>
      <c r="G40" s="252"/>
    </row>
    <row r="41" spans="1:7" ht="10.5">
      <c r="A41" s="253" t="s">
        <v>1684</v>
      </c>
      <c r="B41" s="153" t="s">
        <v>1699</v>
      </c>
      <c r="C41" s="13"/>
      <c r="D41" s="254" t="s">
        <v>1684</v>
      </c>
      <c r="E41" s="254"/>
      <c r="F41" s="152" t="s">
        <v>234</v>
      </c>
      <c r="G41" s="255" t="s">
        <v>1700</v>
      </c>
    </row>
    <row r="42" spans="1:7" ht="10.5">
      <c r="A42" s="256">
        <f>Tables!A944</f>
      </c>
      <c r="B42" s="169">
        <f>Tables!B944</f>
      </c>
      <c r="C42" s="13"/>
      <c r="D42" s="257">
        <f>Tables!A555</f>
      </c>
      <c r="E42" s="257"/>
      <c r="F42" s="258">
        <f>Tables!B555</f>
      </c>
      <c r="G42" s="137">
        <f>Tables!C555</f>
      </c>
    </row>
    <row r="43" spans="1:7" ht="10.5">
      <c r="A43" s="256"/>
      <c r="B43" s="169"/>
      <c r="C43" s="13"/>
      <c r="D43" s="257"/>
      <c r="E43" s="257"/>
      <c r="F43" s="258"/>
      <c r="G43" s="137"/>
    </row>
    <row r="44" spans="1:7" ht="10.5">
      <c r="A44" s="256"/>
      <c r="B44" s="169"/>
      <c r="C44" s="13"/>
      <c r="D44" s="257"/>
      <c r="E44" s="257"/>
      <c r="F44" s="258"/>
      <c r="G44" s="137"/>
    </row>
    <row r="45" spans="1:7" ht="10.5">
      <c r="A45" s="256"/>
      <c r="B45" s="169"/>
      <c r="D45" s="257"/>
      <c r="E45" s="257"/>
      <c r="F45" s="258"/>
      <c r="G45" s="137"/>
    </row>
    <row r="46" spans="1:7" ht="10.5">
      <c r="A46" s="256"/>
      <c r="B46" s="169"/>
      <c r="D46" s="257"/>
      <c r="E46" s="257"/>
      <c r="F46" s="258"/>
      <c r="G46" s="137"/>
    </row>
    <row r="47" spans="1:7" ht="10.5">
      <c r="A47" s="256"/>
      <c r="B47" s="169"/>
      <c r="D47" s="257"/>
      <c r="E47" s="257"/>
      <c r="F47" s="258"/>
      <c r="G47" s="137"/>
    </row>
  </sheetData>
  <mergeCells count="17"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41:E41"/>
    <mergeCell ref="A42:A47"/>
    <mergeCell ref="B42:B47"/>
    <mergeCell ref="D42:E47"/>
    <mergeCell ref="F42:F47"/>
    <mergeCell ref="G42:G47"/>
  </mergeCells>
  <printOptions horizontalCentered="1"/>
  <pageMargins left="0.27569444444444446" right="0.27569444444444446" top="0.39375" bottom="0.39375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N21"/>
  <sheetViews>
    <sheetView workbookViewId="0" topLeftCell="A1">
      <selection activeCell="K12" sqref="K12"/>
    </sheetView>
  </sheetViews>
  <sheetFormatPr defaultColWidth="9.140625" defaultRowHeight="12.75"/>
  <cols>
    <col min="1" max="1" width="3.28125" style="1" customWidth="1"/>
    <col min="2" max="2" width="2.00390625" style="1" customWidth="1"/>
    <col min="3" max="5" width="3.00390625" style="1" customWidth="1"/>
    <col min="6" max="6" width="2.00390625" style="1" customWidth="1"/>
    <col min="7" max="7" width="3.28125" style="1" customWidth="1"/>
    <col min="8" max="9" width="9.140625" style="1" customWidth="1"/>
    <col min="10" max="10" width="6.7109375" style="1" customWidth="1"/>
    <col min="11" max="16384" width="9.140625" style="1" customWidth="1"/>
  </cols>
  <sheetData>
    <row r="1" spans="1:14" ht="12.75">
      <c r="A1" s="108" t="s">
        <v>192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215"/>
    </row>
    <row r="2" spans="1:14" ht="10.5">
      <c r="A2" s="150" t="s">
        <v>157</v>
      </c>
      <c r="B2" s="259"/>
      <c r="C2" s="259"/>
      <c r="D2" s="259"/>
      <c r="E2" s="259"/>
      <c r="F2" s="259"/>
      <c r="G2" s="176"/>
      <c r="H2" s="151" t="s">
        <v>193</v>
      </c>
      <c r="I2" s="151" t="s">
        <v>194</v>
      </c>
      <c r="J2" s="260" t="s">
        <v>1701</v>
      </c>
      <c r="K2" s="260"/>
      <c r="L2" s="260"/>
      <c r="M2" s="151" t="s">
        <v>240</v>
      </c>
      <c r="N2" s="153" t="s">
        <v>241</v>
      </c>
    </row>
    <row r="3" spans="1:14" ht="10.5">
      <c r="A3" s="261" t="str">
        <f>Sheet1!A259</f>
        <v>Meta Link</v>
      </c>
      <c r="B3" s="261"/>
      <c r="C3" s="261"/>
      <c r="D3" s="261"/>
      <c r="E3" s="261"/>
      <c r="F3" s="261"/>
      <c r="G3" s="261"/>
      <c r="H3" s="262">
        <f>Sheet1!B259</f>
        <v>1</v>
      </c>
      <c r="I3" s="262">
        <f>Sheet1!C259</f>
        <v>2</v>
      </c>
      <c r="J3" s="263" t="str">
        <f>Sheet1!H259</f>
        <v>Vector Xim</v>
      </c>
      <c r="K3" s="263"/>
      <c r="L3" s="263"/>
      <c r="M3" s="262">
        <f>Sheet1!I259</f>
        <v>1</v>
      </c>
      <c r="N3" s="51">
        <f>Sheet1!J259</f>
        <v>1</v>
      </c>
    </row>
    <row r="5" spans="9:11" ht="12.75">
      <c r="I5" s="19" t="s">
        <v>1702</v>
      </c>
      <c r="J5" s="264">
        <f>Sheet1!M12</f>
        <v>9</v>
      </c>
      <c r="K5" s="214" t="str">
        <f>CONCATENATE("= Reaction (",Sheet1!I13,") + Intuition (",Sheet1!I17,")")</f>
        <v>= Reaction (5) + Intuition (4)</v>
      </c>
    </row>
    <row r="6" spans="9:11" ht="12.75">
      <c r="I6" s="19" t="s">
        <v>243</v>
      </c>
      <c r="J6" s="264" t="str">
        <f>CONCATENATE(Sheet1!B261,"(",Sheet1!B262,")")</f>
        <v>5(6)</v>
      </c>
      <c r="K6" s="214" t="str">
        <f>CONCATENATE("= Response (",Sheet1!B259,") + Intuition (",Sheet1!I17,") (+1 in Hot-Sim)")</f>
        <v>= Response (1) + Intuition (4) (+1 in Hot-Sim)</v>
      </c>
    </row>
    <row r="7" spans="9:11" ht="10.5">
      <c r="I7" s="214"/>
      <c r="J7" s="214"/>
      <c r="K7" s="214"/>
    </row>
    <row r="8" spans="9:11" ht="12.75">
      <c r="I8" s="19" t="s">
        <v>244</v>
      </c>
      <c r="J8" s="264">
        <f>Sheet1!B264</f>
        <v>1</v>
      </c>
      <c r="K8" s="214" t="str">
        <f>CONCATENATE("= Response (",Sheet1!B259,") + Stealth (",Sheet1!B296,")")</f>
        <v>= Response (1) + Stealth ()</v>
      </c>
    </row>
    <row r="9" spans="9:11" ht="10.5">
      <c r="I9" s="214"/>
      <c r="J9" s="214"/>
      <c r="K9" s="214"/>
    </row>
    <row r="10" spans="9:11" ht="12.75">
      <c r="I10" s="19" t="s">
        <v>245</v>
      </c>
      <c r="J10" s="264">
        <f>Sheet1!B266</f>
        <v>1</v>
      </c>
      <c r="K10" s="214" t="str">
        <f>CONCATENATE("= System (",Sheet1!J259,") + Armor (",Sheet1!B283,")")</f>
        <v>= System (1) + Armor ()</v>
      </c>
    </row>
    <row r="11" spans="9:11" ht="12.75">
      <c r="I11" s="19" t="s">
        <v>1703</v>
      </c>
      <c r="J11" s="264">
        <f>Sheet1!B267</f>
        <v>5</v>
      </c>
      <c r="K11" s="214" t="str">
        <f>CONCATENATE("= Willpower (",Sheet1!I19,") + Biofeedback Filter (",Sheet1!B285,")",IF(COUNTIF(NegQualTaken,"Sensitive Neural Structure")&gt;0," + Sensitive Neural Structure (-2)",""),IF(COUNTIF(PosQualTaken,"Natural Hardening")&gt;0," + Natural Hardening (1)",""))</f>
        <v>= Willpower (5) + Biofeedback Filter ()</v>
      </c>
    </row>
    <row r="12" spans="9:11" ht="10.5">
      <c r="I12" s="214"/>
      <c r="J12" s="214"/>
      <c r="K12" s="214"/>
    </row>
    <row r="13" spans="1:11" ht="12.75">
      <c r="A13" s="134" t="s">
        <v>1704</v>
      </c>
      <c r="B13" s="134"/>
      <c r="C13" s="134"/>
      <c r="D13" s="134"/>
      <c r="E13" s="134"/>
      <c r="F13" s="134"/>
      <c r="G13" s="134"/>
      <c r="I13" s="214"/>
      <c r="J13" s="214"/>
      <c r="K13" s="214"/>
    </row>
    <row r="14" spans="1:11" ht="6" customHeight="1">
      <c r="A14" s="90"/>
      <c r="B14" s="23"/>
      <c r="C14" s="23"/>
      <c r="D14" s="23"/>
      <c r="E14" s="23"/>
      <c r="F14" s="23"/>
      <c r="G14" s="91"/>
      <c r="I14" s="214"/>
      <c r="J14" s="214"/>
      <c r="K14" s="214"/>
    </row>
    <row r="15" spans="1:11" ht="13.5" customHeight="1">
      <c r="A15" s="90"/>
      <c r="B15" s="23"/>
      <c r="C15" s="265"/>
      <c r="D15" s="265"/>
      <c r="E15" s="266"/>
      <c r="F15" s="23"/>
      <c r="G15" s="91"/>
      <c r="I15" s="19" t="s">
        <v>1705</v>
      </c>
      <c r="J15" s="264">
        <f>Sheet1!$I$60+Sheet1!B292</f>
        <v>0</v>
      </c>
      <c r="K15" s="267" t="str">
        <f>CONCATENATE("= Hacking (",Sheet1!$I$60,") + Exploit (",Sheet1!$B$292,")")</f>
        <v>= Hacking () + Exploit ()</v>
      </c>
    </row>
    <row r="16" spans="1:11" ht="13.5" customHeight="1">
      <c r="A16" s="90"/>
      <c r="B16" s="23"/>
      <c r="C16" s="265"/>
      <c r="D16" s="265"/>
      <c r="E16" s="266"/>
      <c r="F16" s="23"/>
      <c r="G16" s="91"/>
      <c r="I16" s="214"/>
      <c r="J16" s="214"/>
      <c r="K16" s="214"/>
    </row>
    <row r="17" spans="1:11" ht="13.5" customHeight="1">
      <c r="A17" s="90"/>
      <c r="B17" s="23"/>
      <c r="C17" s="265"/>
      <c r="D17" s="265"/>
      <c r="E17" s="266"/>
      <c r="F17" s="23"/>
      <c r="G17" s="91"/>
      <c r="I17" s="19" t="s">
        <v>1706</v>
      </c>
      <c r="J17" s="264">
        <f>Sheet1!$I$53+Sheet1!B284</f>
        <v>0</v>
      </c>
      <c r="K17" s="267" t="str">
        <f>CONCATENATE("= Cybercombat (",Sheet1!$I$53,") + Attack (",Sheet1!$B$284,")")</f>
        <v>= Cybercombat () + Attack ()</v>
      </c>
    </row>
    <row r="18" spans="1:11" ht="13.5" customHeight="1">
      <c r="A18" s="90"/>
      <c r="B18" s="23"/>
      <c r="C18" s="265"/>
      <c r="D18" s="265"/>
      <c r="E18" s="265"/>
      <c r="F18" s="23"/>
      <c r="G18" s="91"/>
      <c r="I18" s="19" t="s">
        <v>1707</v>
      </c>
      <c r="J18" s="264">
        <f>Sheet1!$I$53+Sheet1!B286</f>
        <v>0</v>
      </c>
      <c r="K18" s="267" t="str">
        <f>CONCATENATE("= Cybercombat (",Sheet1!$I$53,") + Black Hammer (",Sheet1!$B$286,")")</f>
        <v>= Cybercombat () + Black Hammer ()</v>
      </c>
    </row>
    <row r="19" spans="1:11" ht="13.5" customHeight="1">
      <c r="A19" s="90"/>
      <c r="B19" s="23"/>
      <c r="C19" s="265"/>
      <c r="D19" s="265"/>
      <c r="E19" s="265"/>
      <c r="F19" s="23"/>
      <c r="G19" s="91"/>
      <c r="I19" s="19" t="s">
        <v>1708</v>
      </c>
      <c r="J19" s="264">
        <f>Sheet1!$I$53+Sheet1!B287</f>
        <v>0</v>
      </c>
      <c r="K19" s="267" t="str">
        <f>CONCATENATE("= Cybercombat (",Sheet1!$I$53,") + Blackout (",Sheet1!$B$287,")")</f>
        <v>= Cybercombat () + Blackout ()</v>
      </c>
    </row>
    <row r="20" spans="1:7" ht="13.5" customHeight="1">
      <c r="A20" s="90"/>
      <c r="B20" s="23"/>
      <c r="C20" s="265"/>
      <c r="D20" s="265"/>
      <c r="E20" s="265"/>
      <c r="F20" s="23"/>
      <c r="G20" s="91"/>
    </row>
    <row r="21" spans="1:7" ht="6" customHeight="1">
      <c r="A21" s="92"/>
      <c r="B21" s="50"/>
      <c r="C21" s="50"/>
      <c r="D21" s="50"/>
      <c r="E21" s="50"/>
      <c r="F21" s="50"/>
      <c r="G21" s="93"/>
    </row>
  </sheetData>
  <mergeCells count="4">
    <mergeCell ref="J2:L2"/>
    <mergeCell ref="A3:G3"/>
    <mergeCell ref="J3:L3"/>
    <mergeCell ref="A13:G13"/>
  </mergeCells>
  <conditionalFormatting sqref="C18">
    <cfRule type="expression" priority="1" dxfId="0" stopIfTrue="1">
      <formula>MCon&lt;10</formula>
    </cfRule>
  </conditionalFormatting>
  <conditionalFormatting sqref="D18">
    <cfRule type="expression" priority="2" dxfId="0" stopIfTrue="1">
      <formula>MCon&lt;11</formula>
    </cfRule>
  </conditionalFormatting>
  <conditionalFormatting sqref="E18">
    <cfRule type="expression" priority="3" dxfId="0" stopIfTrue="1">
      <formula>MCon&lt;12</formula>
    </cfRule>
  </conditionalFormatting>
  <conditionalFormatting sqref="C19">
    <cfRule type="expression" priority="4" dxfId="0" stopIfTrue="1">
      <formula>MCon&lt;13</formula>
    </cfRule>
  </conditionalFormatting>
  <conditionalFormatting sqref="D19">
    <cfRule type="expression" priority="5" dxfId="0" stopIfTrue="1">
      <formula>MCon&lt;14</formula>
    </cfRule>
  </conditionalFormatting>
  <conditionalFormatting sqref="E19">
    <cfRule type="expression" priority="6" dxfId="0" stopIfTrue="1">
      <formula>MCon&lt;15</formula>
    </cfRule>
  </conditionalFormatting>
  <conditionalFormatting sqref="C20">
    <cfRule type="expression" priority="7" dxfId="0" stopIfTrue="1">
      <formula>MCon&lt;16</formula>
    </cfRule>
  </conditionalFormatting>
  <conditionalFormatting sqref="D20">
    <cfRule type="expression" priority="8" dxfId="0" stopIfTrue="1">
      <formula>MCon&lt;17</formula>
    </cfRule>
  </conditionalFormatting>
  <conditionalFormatting sqref="E20">
    <cfRule type="expression" priority="9" dxfId="0" stopIfTrue="1">
      <formula>MCon&lt;18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J35"/>
  <sheetViews>
    <sheetView workbookViewId="0" topLeftCell="A1">
      <selection activeCell="E3" sqref="E3"/>
    </sheetView>
  </sheetViews>
  <sheetFormatPr defaultColWidth="9.140625" defaultRowHeight="12.75"/>
  <cols>
    <col min="1" max="1" width="13.140625" style="1" customWidth="1"/>
    <col min="2" max="16384" width="9.140625" style="1" customWidth="1"/>
  </cols>
  <sheetData>
    <row r="1" spans="25:36" ht="10.5">
      <c r="Y1" s="1">
        <f>SUM(B2:B4)</f>
        <v>8</v>
      </c>
      <c r="Z1" s="1">
        <v>0</v>
      </c>
      <c r="AA1" s="1">
        <f ca="1">IF($Y$1&gt;Z1,1+INT(6*RAND()),0)</f>
        <v>6</v>
      </c>
      <c r="AB1" s="1">
        <f>IF(AA1&gt;4,1,0)</f>
        <v>1</v>
      </c>
      <c r="AD1" s="1">
        <f>E2</f>
        <v>2</v>
      </c>
      <c r="AE1" s="1">
        <f ca="1">IF(AD1&gt;$Z$1,1+INT(6*RAND()),0)</f>
        <v>2</v>
      </c>
      <c r="AF1" s="1">
        <f>IF(AE1&gt;4,1,0)</f>
        <v>0</v>
      </c>
      <c r="AH1" s="1">
        <f>E8+E9</f>
        <v>3</v>
      </c>
      <c r="AI1" s="1">
        <f ca="1">IF($AH$1&gt;Z1,1+INT(6*RAND()),0)</f>
        <v>3</v>
      </c>
      <c r="AJ1" s="1">
        <f>IF(AI1&gt;4,1,0)</f>
        <v>0</v>
      </c>
    </row>
    <row r="2" spans="1:36" ht="10.5">
      <c r="A2" s="7" t="s">
        <v>1709</v>
      </c>
      <c r="B2" s="8">
        <v>3</v>
      </c>
      <c r="D2" s="7" t="s">
        <v>1710</v>
      </c>
      <c r="E2" s="8">
        <v>2</v>
      </c>
      <c r="Z2" s="1">
        <v>1</v>
      </c>
      <c r="AA2" s="1">
        <f ca="1">IF($Y$1&gt;Z2,1+INT(6*RAND()),0)</f>
        <v>2</v>
      </c>
      <c r="AB2" s="1">
        <f>IF(AA2&gt;4,1,0)</f>
        <v>0</v>
      </c>
      <c r="AE2" s="1">
        <f ca="1">IF($AD$1&gt;Z2,1+INT(6*RAND()),0)</f>
        <v>5</v>
      </c>
      <c r="AF2" s="1">
        <f>IF(AE2&gt;4,1,0)</f>
        <v>1</v>
      </c>
      <c r="AI2" s="1">
        <f ca="1">IF($AH$1&gt;Z2,1+INT(6*RAND()),0)</f>
        <v>1</v>
      </c>
      <c r="AJ2" s="1">
        <f>IF(AI2&gt;4,1,0)</f>
        <v>0</v>
      </c>
    </row>
    <row r="3" spans="1:36" ht="10.5">
      <c r="A3" s="7" t="s">
        <v>1711</v>
      </c>
      <c r="B3" s="8">
        <v>4</v>
      </c>
      <c r="Z3" s="1">
        <v>2</v>
      </c>
      <c r="AA3" s="1">
        <f ca="1">IF($Y$1&gt;Z3,1+INT(6*RAND()),0)</f>
        <v>5</v>
      </c>
      <c r="AB3" s="1">
        <f>IF(AA3&gt;4,1,0)</f>
        <v>1</v>
      </c>
      <c r="AE3" s="1">
        <f ca="1">IF($AD$1&gt;Z3,1+INT(6*RAND()),0)</f>
        <v>0</v>
      </c>
      <c r="AF3" s="1">
        <f>IF(AE3&gt;4,1,0)</f>
        <v>0</v>
      </c>
      <c r="AI3" s="1">
        <f ca="1">IF($AH$1&gt;Z3,1+INT(6*RAND()),0)</f>
        <v>3</v>
      </c>
      <c r="AJ3" s="1">
        <f>IF(AI3&gt;4,1,0)</f>
        <v>0</v>
      </c>
    </row>
    <row r="4" spans="1:36" ht="10.5">
      <c r="A4" s="7" t="s">
        <v>1712</v>
      </c>
      <c r="B4" s="8">
        <v>1</v>
      </c>
      <c r="Z4" s="1">
        <v>3</v>
      </c>
      <c r="AA4" s="1">
        <f ca="1">IF($Y$1&gt;Z4,1+INT(6*RAND()),0)</f>
        <v>1</v>
      </c>
      <c r="AB4" s="1">
        <f>IF(AA4&gt;4,1,0)</f>
        <v>0</v>
      </c>
      <c r="AE4" s="1">
        <f ca="1">IF($AD$1&gt;Z4,1+INT(6*RAND()),0)</f>
        <v>0</v>
      </c>
      <c r="AF4" s="1">
        <f>IF(AE4&gt;4,1,0)</f>
        <v>0</v>
      </c>
      <c r="AI4" s="1">
        <f ca="1">IF($AH$1&gt;Z4,1+INT(6*RAND()),0)</f>
        <v>0</v>
      </c>
      <c r="AJ4" s="1">
        <f>IF(AI4&gt;4,1,0)</f>
        <v>0</v>
      </c>
    </row>
    <row r="5" spans="26:36" ht="10.5">
      <c r="Z5" s="1">
        <v>4</v>
      </c>
      <c r="AA5" s="1">
        <f ca="1">IF($Y$1&gt;Z5,1+INT(6*RAND()),0)</f>
        <v>2</v>
      </c>
      <c r="AB5" s="1">
        <f>IF(AA5&gt;4,1,0)</f>
        <v>0</v>
      </c>
      <c r="AE5" s="1">
        <f ca="1">IF($AD$1&gt;Z5,1+INT(6*RAND()),0)</f>
        <v>0</v>
      </c>
      <c r="AF5" s="1">
        <f>IF(AE5&gt;4,1,0)</f>
        <v>0</v>
      </c>
      <c r="AI5" s="1">
        <f ca="1">IF($AH$1&gt;Z5,1+INT(6*RAND()),0)</f>
        <v>0</v>
      </c>
      <c r="AJ5" s="1">
        <f>IF(AI5&gt;4,1,0)</f>
        <v>0</v>
      </c>
    </row>
    <row r="6" spans="1:36" ht="10.5">
      <c r="A6" s="20" t="s">
        <v>1713</v>
      </c>
      <c r="B6" s="69">
        <f>IF(AF31&gt;=AB31,"Miss!",AB31-AF31)</f>
        <v>2</v>
      </c>
      <c r="Z6" s="1">
        <v>5</v>
      </c>
      <c r="AA6" s="1">
        <f ca="1">IF($Y$1&gt;Z6,1+INT(6*RAND()),0)</f>
        <v>4</v>
      </c>
      <c r="AB6" s="1">
        <f>IF(AA6&gt;4,1,0)</f>
        <v>0</v>
      </c>
      <c r="AE6" s="1">
        <f ca="1">IF($AD$1&gt;Z6,1+INT(6*RAND()),0)</f>
        <v>0</v>
      </c>
      <c r="AF6" s="1">
        <f>IF(AE6&gt;4,1,0)</f>
        <v>0</v>
      </c>
      <c r="AI6" s="1">
        <f ca="1">IF($AH$1&gt;Z6,1+INT(6*RAND()),0)</f>
        <v>0</v>
      </c>
      <c r="AJ6" s="1">
        <f>IF(AI6&gt;4,1,0)</f>
        <v>0</v>
      </c>
    </row>
    <row r="7" spans="26:36" ht="10.5">
      <c r="Z7" s="1">
        <v>6</v>
      </c>
      <c r="AA7" s="1">
        <f ca="1">IF($Y$1&gt;Z7,1+INT(6*RAND()),0)</f>
        <v>6</v>
      </c>
      <c r="AB7" s="1">
        <f>IF(AA7&gt;4,1,0)</f>
        <v>1</v>
      </c>
      <c r="AE7" s="1">
        <f ca="1">IF($AD$1&gt;Z7,1+INT(6*RAND()),0)</f>
        <v>0</v>
      </c>
      <c r="AF7" s="1">
        <f>IF(AE7&gt;4,1,0)</f>
        <v>0</v>
      </c>
      <c r="AI7" s="1">
        <f ca="1">IF($AH$1&gt;Z7,1+INT(6*RAND()),0)</f>
        <v>0</v>
      </c>
      <c r="AJ7" s="1">
        <f>IF(AI7&gt;4,1,0)</f>
        <v>0</v>
      </c>
    </row>
    <row r="8" spans="1:36" ht="10.5">
      <c r="A8" s="7" t="s">
        <v>1714</v>
      </c>
      <c r="B8" s="8">
        <v>7</v>
      </c>
      <c r="D8" s="7" t="s">
        <v>1715</v>
      </c>
      <c r="E8" s="8">
        <v>3</v>
      </c>
      <c r="Z8" s="1">
        <v>7</v>
      </c>
      <c r="AA8" s="1">
        <f ca="1">IF($Y$1&gt;Z8,1+INT(6*RAND()),0)</f>
        <v>1</v>
      </c>
      <c r="AB8" s="1">
        <f>IF(AA8&gt;4,1,0)</f>
        <v>0</v>
      </c>
      <c r="AE8" s="1">
        <f ca="1">IF($AD$1&gt;Z8,1+INT(6*RAND()),0)</f>
        <v>0</v>
      </c>
      <c r="AF8" s="1">
        <f>IF(AE8&gt;4,1,0)</f>
        <v>0</v>
      </c>
      <c r="AI8" s="1">
        <f ca="1">IF($AH$1&gt;Z8,1+INT(6*RAND()),0)</f>
        <v>0</v>
      </c>
      <c r="AJ8" s="1">
        <f>IF(AI8&gt;4,1,0)</f>
        <v>0</v>
      </c>
    </row>
    <row r="9" spans="4:36" ht="10.5">
      <c r="D9" s="7" t="s">
        <v>1716</v>
      </c>
      <c r="E9" s="8"/>
      <c r="Z9" s="1">
        <v>8</v>
      </c>
      <c r="AA9" s="1">
        <f ca="1">IF($Y$1&gt;Z9,1+INT(6*RAND()),0)</f>
        <v>0</v>
      </c>
      <c r="AB9" s="1">
        <f>IF(AA9&gt;4,1,0)</f>
        <v>0</v>
      </c>
      <c r="AE9" s="1">
        <f ca="1">IF($AD$1&gt;Z9,1+INT(6*RAND()),0)</f>
        <v>0</v>
      </c>
      <c r="AF9" s="1">
        <f>IF(AE9&gt;4,1,0)</f>
        <v>0</v>
      </c>
      <c r="AI9" s="1">
        <f ca="1">IF($AH$1&gt;Z9,1+INT(6*RAND()),0)</f>
        <v>0</v>
      </c>
      <c r="AJ9" s="1">
        <f>IF(AI9&gt;4,1,0)</f>
        <v>0</v>
      </c>
    </row>
    <row r="10" spans="26:36" ht="10.5">
      <c r="Z10" s="1">
        <v>9</v>
      </c>
      <c r="AA10" s="1">
        <f ca="1">IF($Y$1&gt;Z10,1+INT(6*RAND()),0)</f>
        <v>0</v>
      </c>
      <c r="AB10" s="1">
        <f>IF(AA10&gt;4,1,0)</f>
        <v>0</v>
      </c>
      <c r="AE10" s="1">
        <f ca="1">IF($AD$1&gt;Z10,1+INT(6*RAND()),0)</f>
        <v>0</v>
      </c>
      <c r="AF10" s="1">
        <f>IF(AE10&gt;4,1,0)</f>
        <v>0</v>
      </c>
      <c r="AI10" s="1">
        <f ca="1">IF($AH$1&gt;Z10,1+INT(6*RAND()),0)</f>
        <v>0</v>
      </c>
      <c r="AJ10" s="1">
        <f>IF(AI10&gt;4,1,0)</f>
        <v>0</v>
      </c>
    </row>
    <row r="11" spans="26:36" ht="10.5">
      <c r="Z11" s="1">
        <v>10</v>
      </c>
      <c r="AA11" s="1">
        <f ca="1">IF($Y$1&gt;Z11,1+INT(6*RAND()),0)</f>
        <v>0</v>
      </c>
      <c r="AB11" s="1">
        <f>IF(AA11&gt;4,1,0)</f>
        <v>0</v>
      </c>
      <c r="AE11" s="1">
        <f ca="1">IF($AD$1&gt;Z11,1+INT(6*RAND()),0)</f>
        <v>0</v>
      </c>
      <c r="AF11" s="1">
        <f>IF(AE11&gt;4,1,0)</f>
        <v>0</v>
      </c>
      <c r="AI11" s="1">
        <f ca="1">IF($AH$1&gt;Z11,1+INT(6*RAND()),0)</f>
        <v>0</v>
      </c>
      <c r="AJ11" s="1">
        <f>IF(AI11&gt;4,1,0)</f>
        <v>0</v>
      </c>
    </row>
    <row r="12" spans="1:36" ht="10.5">
      <c r="A12" s="20" t="s">
        <v>1717</v>
      </c>
      <c r="B12" s="10">
        <f>IF(ISERROR(Z35)=TRUE,"",Z35)</f>
        <v>9</v>
      </c>
      <c r="C12" s="1" t="str">
        <f>IF(ISERROR(IF((B6+B8)&gt;E9,"Physical","Stun"))=TRUE,"",IF((B6+B8)&gt;E9,"Physical","Stun"))</f>
        <v>Physical</v>
      </c>
      <c r="Z12" s="1">
        <v>11</v>
      </c>
      <c r="AA12" s="1">
        <f ca="1">IF($Y$1&gt;Z12,1+INT(6*RAND()),0)</f>
        <v>0</v>
      </c>
      <c r="AB12" s="1">
        <f>IF(AA12&gt;4,1,0)</f>
        <v>0</v>
      </c>
      <c r="AE12" s="1">
        <f ca="1">IF($AD$1&gt;Z12,1+INT(6*RAND()),0)</f>
        <v>0</v>
      </c>
      <c r="AF12" s="1">
        <f>IF(AE12&gt;4,1,0)</f>
        <v>0</v>
      </c>
      <c r="AI12" s="1">
        <f ca="1">IF($AH$1&gt;Z12,1+INT(6*RAND()),0)</f>
        <v>0</v>
      </c>
      <c r="AJ12" s="1">
        <f>IF(AI12&gt;4,1,0)</f>
        <v>0</v>
      </c>
    </row>
    <row r="13" spans="26:36" ht="10.5">
      <c r="Z13" s="1">
        <v>12</v>
      </c>
      <c r="AA13" s="1">
        <f ca="1">IF($Y$1&gt;Z13,1+INT(6*RAND()),0)</f>
        <v>0</v>
      </c>
      <c r="AB13" s="1">
        <f>IF(AA13&gt;4,1,0)</f>
        <v>0</v>
      </c>
      <c r="AE13" s="1">
        <f ca="1">IF($AD$1&gt;Z13,1+INT(6*RAND()),0)</f>
        <v>0</v>
      </c>
      <c r="AF13" s="1">
        <f>IF(AE13&gt;4,1,0)</f>
        <v>0</v>
      </c>
      <c r="AI13" s="1">
        <f ca="1">IF($AH$1&gt;Z13,1+INT(6*RAND()),0)</f>
        <v>0</v>
      </c>
      <c r="AJ13" s="1">
        <f>IF(AI13&gt;4,1,0)</f>
        <v>0</v>
      </c>
    </row>
    <row r="14" spans="26:36" ht="10.5">
      <c r="Z14" s="1">
        <v>13</v>
      </c>
      <c r="AA14" s="1">
        <f ca="1">IF($Y$1&gt;Z14,1+INT(6*RAND()),0)</f>
        <v>0</v>
      </c>
      <c r="AB14" s="1">
        <f>IF(AA14&gt;4,1,0)</f>
        <v>0</v>
      </c>
      <c r="AE14" s="1">
        <f ca="1">IF($AD$1&gt;Z14,1+INT(6*RAND()),0)</f>
        <v>0</v>
      </c>
      <c r="AF14" s="1">
        <f>IF(AE14&gt;4,1,0)</f>
        <v>0</v>
      </c>
      <c r="AI14" s="1">
        <f ca="1">IF($AH$1&gt;Z14,1+INT(6*RAND()),0)</f>
        <v>0</v>
      </c>
      <c r="AJ14" s="1">
        <f>IF(AI14&gt;4,1,0)</f>
        <v>0</v>
      </c>
    </row>
    <row r="15" spans="1:36" ht="10.5">
      <c r="A15" s="10" t="str">
        <f>Z32</f>
        <v>Normal</v>
      </c>
      <c r="E15" s="10" t="str">
        <f>AH32</f>
        <v>Normal</v>
      </c>
      <c r="Z15" s="1">
        <v>14</v>
      </c>
      <c r="AA15" s="1">
        <f ca="1">IF($Y$1&gt;Z15,1+INT(6*RAND()),0)</f>
        <v>0</v>
      </c>
      <c r="AB15" s="1">
        <f>IF(AA15&gt;4,1,0)</f>
        <v>0</v>
      </c>
      <c r="AE15" s="1">
        <f ca="1">IF($AD$1&gt;Z15,1+INT(6*RAND()),0)</f>
        <v>0</v>
      </c>
      <c r="AF15" s="1">
        <f>IF(AE15&gt;4,1,0)</f>
        <v>0</v>
      </c>
      <c r="AI15" s="1">
        <f ca="1">IF($AH$1&gt;Z15,1+INT(6*RAND()),0)</f>
        <v>0</v>
      </c>
      <c r="AJ15" s="1">
        <f>IF(AI15&gt;4,1,0)</f>
        <v>0</v>
      </c>
    </row>
    <row r="16" spans="1:36" ht="10.5">
      <c r="A16" s="10">
        <f>Y32</f>
      </c>
      <c r="E16" s="10">
        <f>AG32</f>
      </c>
      <c r="Z16" s="1">
        <v>15</v>
      </c>
      <c r="AA16" s="1">
        <f ca="1">IF($Y$1&gt;Z16,1+INT(6*RAND()),0)</f>
        <v>0</v>
      </c>
      <c r="AB16" s="1">
        <f>IF(AA16&gt;4,1,0)</f>
        <v>0</v>
      </c>
      <c r="AE16" s="1">
        <f ca="1">IF($AD$1&gt;Z16,1+INT(6*RAND()),0)</f>
        <v>0</v>
      </c>
      <c r="AF16" s="1">
        <f>IF(AE16&gt;4,1,0)</f>
        <v>0</v>
      </c>
      <c r="AI16" s="1">
        <f ca="1">IF($AH$1&gt;Z16,1+INT(6*RAND()),0)</f>
        <v>0</v>
      </c>
      <c r="AJ16" s="1">
        <f>IF(AI16&gt;4,1,0)</f>
        <v>0</v>
      </c>
    </row>
    <row r="17" spans="1:36" ht="10.5">
      <c r="A17" s="4" t="s">
        <v>1718</v>
      </c>
      <c r="Z17" s="1">
        <v>16</v>
      </c>
      <c r="AA17" s="1">
        <f ca="1">IF($Y$1&gt;Z17,1+INT(6*RAND()),0)</f>
        <v>0</v>
      </c>
      <c r="AB17" s="1">
        <f>IF(AA17&gt;4,1,0)</f>
        <v>0</v>
      </c>
      <c r="AE17" s="1">
        <f ca="1">IF($AD$1&gt;Z17,1+INT(6*RAND()),0)</f>
        <v>0</v>
      </c>
      <c r="AF17" s="1">
        <f>IF(AE17&gt;4,1,0)</f>
        <v>0</v>
      </c>
      <c r="AI17" s="1">
        <f ca="1">IF($AH$1&gt;Z17,1+INT(6*RAND()),0)</f>
        <v>0</v>
      </c>
      <c r="AJ17" s="1">
        <f>IF(AI17&gt;4,1,0)</f>
        <v>0</v>
      </c>
    </row>
    <row r="18" spans="4:36" ht="10.5">
      <c r="D18" s="4" t="s">
        <v>1719</v>
      </c>
      <c r="Z18" s="1">
        <v>17</v>
      </c>
      <c r="AA18" s="1">
        <f ca="1">IF($Y$1&gt;Z18,1+INT(6*RAND()),0)</f>
        <v>0</v>
      </c>
      <c r="AB18" s="1">
        <f>IF(AA18&gt;4,1,0)</f>
        <v>0</v>
      </c>
      <c r="AE18" s="1">
        <f ca="1">IF($AD$1&gt;Z18,1+INT(6*RAND()),0)</f>
        <v>0</v>
      </c>
      <c r="AF18" s="1">
        <f>IF(AE18&gt;4,1,0)</f>
        <v>0</v>
      </c>
      <c r="AI18" s="1">
        <f ca="1">IF($AH$1&gt;Z18,1+INT(6*RAND()),0)</f>
        <v>0</v>
      </c>
      <c r="AJ18" s="1">
        <f>IF(AI18&gt;4,1,0)</f>
        <v>0</v>
      </c>
    </row>
    <row r="19" spans="1:36" ht="10.5">
      <c r="A19" s="7" t="s">
        <v>1720</v>
      </c>
      <c r="B19" s="8">
        <v>10</v>
      </c>
      <c r="Z19" s="1">
        <v>18</v>
      </c>
      <c r="AA19" s="1">
        <f ca="1">IF($Y$1&gt;Z19,1+INT(6*RAND()),0)</f>
        <v>0</v>
      </c>
      <c r="AB19" s="1">
        <f>IF(AA19&gt;4,1,0)</f>
        <v>0</v>
      </c>
      <c r="AE19" s="1">
        <f ca="1">IF($AD$1&gt;Z19,1+INT(6*RAND()),0)</f>
        <v>0</v>
      </c>
      <c r="AF19" s="1">
        <f>IF(AE19&gt;4,1,0)</f>
        <v>0</v>
      </c>
      <c r="AI19" s="1">
        <f ca="1">IF($AH$1&gt;Z19,1+INT(6*RAND()),0)</f>
        <v>0</v>
      </c>
      <c r="AJ19" s="1">
        <f>IF(AI19&gt;4,1,0)</f>
        <v>0</v>
      </c>
    </row>
    <row r="20" spans="26:36" ht="10.5">
      <c r="Z20" s="1">
        <v>19</v>
      </c>
      <c r="AA20" s="1">
        <f ca="1">IF($Y$1&gt;Z20,1+INT(6*RAND()),0)</f>
        <v>0</v>
      </c>
      <c r="AB20" s="1">
        <f>IF(AA20&gt;4,1,0)</f>
        <v>0</v>
      </c>
      <c r="AE20" s="1">
        <f ca="1">IF($AD$1&gt;Z20,1+INT(6*RAND()),0)</f>
        <v>0</v>
      </c>
      <c r="AF20" s="1">
        <f>IF(AE20&gt;4,1,0)</f>
        <v>0</v>
      </c>
      <c r="AI20" s="1">
        <f ca="1">IF($AH$1&gt;Z20,1+INT(6*RAND()),0)</f>
        <v>0</v>
      </c>
      <c r="AJ20" s="1">
        <f>IF(AI20&gt;4,1,0)</f>
        <v>0</v>
      </c>
    </row>
    <row r="21" spans="26:36" ht="10.5">
      <c r="Z21" s="1">
        <v>20</v>
      </c>
      <c r="AA21" s="1">
        <f ca="1">IF($Y$1&gt;Z21,1+INT(6*RAND()),0)</f>
        <v>0</v>
      </c>
      <c r="AB21" s="1">
        <f>IF(AA21&gt;4,1,0)</f>
        <v>0</v>
      </c>
      <c r="AE21" s="1">
        <f ca="1">IF($AD$1&gt;Z21,1+INT(6*RAND()),0)</f>
        <v>0</v>
      </c>
      <c r="AF21" s="1">
        <f>IF(AE21&gt;4,1,0)</f>
        <v>0</v>
      </c>
      <c r="AI21" s="1">
        <f ca="1">IF($AH$1&gt;Z21,1+INT(6*RAND()),0)</f>
        <v>0</v>
      </c>
      <c r="AJ21" s="1">
        <f>IF(AI21&gt;4,1,0)</f>
        <v>0</v>
      </c>
    </row>
    <row r="22" spans="26:36" ht="10.5">
      <c r="Z22" s="1">
        <v>21</v>
      </c>
      <c r="AA22" s="1">
        <f ca="1">IF($Y$1&gt;Z22,1+INT(6*RAND()),0)</f>
        <v>0</v>
      </c>
      <c r="AB22" s="1">
        <f>IF(AA22&gt;4,1,0)</f>
        <v>0</v>
      </c>
      <c r="AE22" s="1">
        <f ca="1">IF($AD$1&gt;Z22,1+INT(6*RAND()),0)</f>
        <v>0</v>
      </c>
      <c r="AF22" s="1">
        <f>IF(AE22&gt;4,1,0)</f>
        <v>0</v>
      </c>
      <c r="AI22" s="1">
        <f ca="1">IF($AH$1&gt;Z22,1+INT(6*RAND()),0)</f>
        <v>0</v>
      </c>
      <c r="AJ22" s="1">
        <f>IF(AI22&gt;4,1,0)</f>
        <v>0</v>
      </c>
    </row>
    <row r="23" spans="26:36" ht="10.5">
      <c r="Z23" s="1">
        <v>22</v>
      </c>
      <c r="AA23" s="1">
        <f ca="1">IF($Y$1&gt;Z23,1+INT(6*RAND()),0)</f>
        <v>0</v>
      </c>
      <c r="AB23" s="1">
        <f>IF(AA23&gt;4,1,0)</f>
        <v>0</v>
      </c>
      <c r="AE23" s="1">
        <f ca="1">IF($AD$1&gt;Z23,1+INT(6*RAND()),0)</f>
        <v>0</v>
      </c>
      <c r="AF23" s="1">
        <f>IF(AE23&gt;4,1,0)</f>
        <v>0</v>
      </c>
      <c r="AI23" s="1">
        <f ca="1">IF($AH$1&gt;Z23,1+INT(6*RAND()),0)</f>
        <v>0</v>
      </c>
      <c r="AJ23" s="1">
        <f>IF(AI23&gt;4,1,0)</f>
        <v>0</v>
      </c>
    </row>
    <row r="24" spans="26:36" ht="10.5">
      <c r="Z24" s="1">
        <v>23</v>
      </c>
      <c r="AA24" s="1">
        <f ca="1">IF($Y$1&gt;Z24,1+INT(6*RAND()),0)</f>
        <v>0</v>
      </c>
      <c r="AB24" s="1">
        <f>IF(AA24&gt;4,1,0)</f>
        <v>0</v>
      </c>
      <c r="AE24" s="1">
        <f ca="1">IF($AD$1&gt;Z24,1+INT(6*RAND()),0)</f>
        <v>0</v>
      </c>
      <c r="AF24" s="1">
        <f>IF(AE24&gt;4,1,0)</f>
        <v>0</v>
      </c>
      <c r="AI24" s="1">
        <f ca="1">IF($AH$1&gt;Z24,1+INT(6*RAND()),0)</f>
        <v>0</v>
      </c>
      <c r="AJ24" s="1">
        <f>IF(AI24&gt;4,1,0)</f>
        <v>0</v>
      </c>
    </row>
    <row r="25" spans="26:36" ht="10.5">
      <c r="Z25" s="1">
        <v>24</v>
      </c>
      <c r="AA25" s="1">
        <f ca="1">IF($Y$1&gt;Z25,1+INT(6*RAND()),0)</f>
        <v>0</v>
      </c>
      <c r="AB25" s="1">
        <f>IF(AA25&gt;4,1,0)</f>
        <v>0</v>
      </c>
      <c r="AE25" s="1">
        <f ca="1">IF($AD$1&gt;Z25,1+INT(6*RAND()),0)</f>
        <v>0</v>
      </c>
      <c r="AF25" s="1">
        <f>IF(AE25&gt;4,1,0)</f>
        <v>0</v>
      </c>
      <c r="AI25" s="1">
        <f ca="1">IF($AH$1&gt;Z25,1+INT(6*RAND()),0)</f>
        <v>0</v>
      </c>
      <c r="AJ25" s="1">
        <f>IF(AI25&gt;4,1,0)</f>
        <v>0</v>
      </c>
    </row>
    <row r="26" spans="26:36" ht="10.5">
      <c r="Z26" s="1">
        <v>25</v>
      </c>
      <c r="AA26" s="1">
        <f ca="1">IF($Y$1&gt;Z26,1+INT(6*RAND()),0)</f>
        <v>0</v>
      </c>
      <c r="AB26" s="1">
        <f>IF(AA26&gt;4,1,0)</f>
        <v>0</v>
      </c>
      <c r="AE26" s="1">
        <f ca="1">IF($AD$1&gt;Z26,1+INT(6*RAND()),0)</f>
        <v>0</v>
      </c>
      <c r="AF26" s="1">
        <f>IF(AE26&gt;4,1,0)</f>
        <v>0</v>
      </c>
      <c r="AI26" s="1">
        <f ca="1">IF($AH$1&gt;Z26,1+INT(6*RAND()),0)</f>
        <v>0</v>
      </c>
      <c r="AJ26" s="1">
        <f>IF(AI26&gt;4,1,0)</f>
        <v>0</v>
      </c>
    </row>
    <row r="27" spans="26:36" ht="10.5">
      <c r="Z27" s="1">
        <v>26</v>
      </c>
      <c r="AA27" s="1">
        <f ca="1">IF($Y$1&gt;Z27,1+INT(6*RAND()),0)</f>
        <v>0</v>
      </c>
      <c r="AB27" s="1">
        <f>IF(AA27&gt;4,1,0)</f>
        <v>0</v>
      </c>
      <c r="AE27" s="1">
        <f ca="1">IF($AD$1&gt;Z27,1+INT(6*RAND()),0)</f>
        <v>0</v>
      </c>
      <c r="AF27" s="1">
        <f>IF(AE27&gt;4,1,0)</f>
        <v>0</v>
      </c>
      <c r="AI27" s="1">
        <f ca="1">IF($AH$1&gt;Z27,1+INT(6*RAND()),0)</f>
        <v>0</v>
      </c>
      <c r="AJ27" s="1">
        <f>IF(AI27&gt;4,1,0)</f>
        <v>0</v>
      </c>
    </row>
    <row r="28" spans="26:36" ht="10.5">
      <c r="Z28" s="1">
        <v>27</v>
      </c>
      <c r="AA28" s="1">
        <f ca="1">IF($Y$1&gt;Z28,1+INT(6*RAND()),0)</f>
        <v>0</v>
      </c>
      <c r="AB28" s="1">
        <f>IF(AA28&gt;4,1,0)</f>
        <v>0</v>
      </c>
      <c r="AE28" s="1">
        <f ca="1">IF($AD$1&gt;Z28,1+INT(6*RAND()),0)</f>
        <v>0</v>
      </c>
      <c r="AF28" s="1">
        <f>IF(AE28&gt;4,1,0)</f>
        <v>0</v>
      </c>
      <c r="AI28" s="1">
        <f ca="1">IF($AH$1&gt;Z28,1+INT(6*RAND()),0)</f>
        <v>0</v>
      </c>
      <c r="AJ28" s="1">
        <f>IF(AI28&gt;4,1,0)</f>
        <v>0</v>
      </c>
    </row>
    <row r="29" spans="26:36" ht="10.5">
      <c r="Z29" s="1">
        <v>28</v>
      </c>
      <c r="AA29" s="1">
        <f ca="1">IF($Y$1&gt;Z29,1+INT(6*RAND()),0)</f>
        <v>0</v>
      </c>
      <c r="AB29" s="1">
        <f>IF(AA29&gt;4,1,0)</f>
        <v>0</v>
      </c>
      <c r="AE29" s="1">
        <f ca="1">IF($AD$1&gt;Z29,1+INT(6*RAND()),0)</f>
        <v>0</v>
      </c>
      <c r="AF29" s="1">
        <f>IF(AE29&gt;4,1,0)</f>
        <v>0</v>
      </c>
      <c r="AI29" s="1">
        <f ca="1">IF($AH$1&gt;Z29,1+INT(6*RAND()),0)</f>
        <v>0</v>
      </c>
      <c r="AJ29" s="1">
        <f>IF(AI29&gt;4,1,0)</f>
        <v>0</v>
      </c>
    </row>
    <row r="30" spans="1:36" ht="10.5">
      <c r="A30" s="7" t="s">
        <v>1721</v>
      </c>
      <c r="B30" s="8" t="s">
        <v>406</v>
      </c>
      <c r="C30" s="8"/>
      <c r="D30" s="8"/>
      <c r="Z30" s="1">
        <v>29</v>
      </c>
      <c r="AA30" s="1">
        <f ca="1">IF($Y$1&gt;Z30,1+INT(6*RAND()),0)</f>
        <v>0</v>
      </c>
      <c r="AB30" s="1">
        <f>IF(AA30&gt;4,1,0)</f>
        <v>0</v>
      </c>
      <c r="AE30" s="1">
        <f ca="1">IF($AD$1&gt;Z30,1+INT(6*RAND()),0)</f>
        <v>0</v>
      </c>
      <c r="AF30" s="1">
        <f>IF(AE30&gt;4,1,0)</f>
        <v>0</v>
      </c>
      <c r="AI30" s="1">
        <f ca="1">IF($AH$1&gt;Z30,1+INT(6*RAND()),0)</f>
        <v>0</v>
      </c>
      <c r="AJ30" s="1">
        <f>IF(AI30&gt;4,1,0)</f>
        <v>0</v>
      </c>
    </row>
    <row r="31" spans="1:36" ht="10.5">
      <c r="A31" s="7" t="s">
        <v>234</v>
      </c>
      <c r="B31" s="268">
        <v>8</v>
      </c>
      <c r="Z31" s="7" t="s">
        <v>1722</v>
      </c>
      <c r="AA31" s="1">
        <f>COUNTIF(AA1:AA30,1)</f>
        <v>2</v>
      </c>
      <c r="AB31" s="1">
        <f>SUM(AB1:AB30)</f>
        <v>3</v>
      </c>
      <c r="AF31" s="1">
        <f>SUM(AF1:AF30)</f>
        <v>1</v>
      </c>
      <c r="AI31" s="1">
        <f>COUNTIF(AI1:AI30,1)</f>
        <v>1</v>
      </c>
      <c r="AJ31" s="1">
        <f>SUM(AJ1:AJ30)</f>
        <v>0</v>
      </c>
    </row>
    <row r="32" spans="25:34" ht="10.5">
      <c r="Y32" s="1">
        <f>IF(AND(Z32="Glitch",AB31=0)=TRUE,"Critical Glitch!!!","")</f>
      </c>
      <c r="Z32" s="1" t="str">
        <f>IF(AA31&gt;ROUNDDOWN((Y1/2),0),"Glitch","Normal")</f>
        <v>Normal</v>
      </c>
      <c r="AG32" s="1">
        <f>IF(AND(AH32="Glitch",AJ31=0)=TRUE,"Critical Glitch!!!","")</f>
      </c>
      <c r="AH32" s="1" t="str">
        <f>IF(AI31&gt;ROUNDDOWN((AH1/2),0),"Glitch","Normal")</f>
        <v>Normal</v>
      </c>
    </row>
    <row r="33" spans="1:2" ht="10.5">
      <c r="A33" s="20" t="s">
        <v>1723</v>
      </c>
      <c r="B33" s="10">
        <f>VLOOKUP(B30,SpellTable,8,FALSE)</f>
        <v>2</v>
      </c>
    </row>
    <row r="35" ht="10.5">
      <c r="Z35" s="1">
        <f>(B6+B8)-AJ31</f>
        <v>9</v>
      </c>
    </row>
  </sheetData>
  <mergeCells count="1">
    <mergeCell ref="B30:D30"/>
  </mergeCells>
  <dataValidations count="1">
    <dataValidation type="list" allowBlank="1" showErrorMessage="1" sqref="B30:D30">
      <formula1>SpellList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John Doe</cp:lastModifiedBy>
  <cp:lastPrinted>2005-10-02T16:50:13Z</cp:lastPrinted>
  <dcterms:created xsi:type="dcterms:W3CDTF">2005-09-05T21:13:23Z</dcterms:created>
  <dcterms:modified xsi:type="dcterms:W3CDTF">2006-01-06T16:56:11Z</dcterms:modified>
  <cp:category/>
  <cp:version/>
  <cp:contentType/>
  <cp:contentStatus/>
  <cp:revision>1</cp:revision>
</cp:coreProperties>
</file>